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יהב אחים ואחיות\2024\דיווחים נלווים\ישירות\4\סופי\"/>
    </mc:Choice>
  </mc:AlternateContent>
  <xr:revisionPtr revIDLastSave="0" documentId="13_ncr:1_{01828150-05CF-4EC0-9091-11692DEC5278}" xr6:coauthVersionLast="47" xr6:coauthVersionMax="47" xr10:uidLastSave="{00000000-0000-0000-0000-000000000000}"/>
  <bookViews>
    <workbookView xWindow="-120" yWindow="-120" windowWidth="29040" windowHeight="15840" activeTab="4" xr2:uid="{85E031A0-03E1-450F-96B5-F13BF79AA881}"/>
  </bookViews>
  <sheets>
    <sheet name="נספח 1" sheetId="1" r:id="rId1"/>
    <sheet name="נספח 2" sheetId="2" r:id="rId2"/>
    <sheet name="נספח 3" sheetId="3" r:id="rId3"/>
    <sheet name="418" sheetId="4" r:id="rId4"/>
    <sheet name="1456" sheetId="5" r:id="rId5"/>
  </sheets>
  <externalReferences>
    <externalReference r:id="rId6"/>
    <externalReference r:id="rId7"/>
  </externalReferences>
  <definedNames>
    <definedName name="Castod">'[1]הפעלה דוח הוצאות ישירות'!$D$7</definedName>
    <definedName name="comp_name">'[1]הפעלה דוח הוצאות ישירות'!$D$3</definedName>
    <definedName name="Date1">[2]הפעלה!$C$7</definedName>
    <definedName name="kupaNoga">OFFSET([2]startSettings!$B$2,0,0,COUNTA([2]startSettings!$B:$B)-1,1)</definedName>
    <definedName name="MaslulNoga">OFFSET([2]startSettings!$J$2,0,0,COUNTA([2]startSettings!$J:$J)-1,1)</definedName>
    <definedName name="mngCompany">[2]הפעלה!$C$5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16" i="1"/>
  <c r="D50" i="1" l="1"/>
  <c r="D48" i="1"/>
  <c r="D44" i="1"/>
  <c r="D42" i="1"/>
  <c r="D39" i="1"/>
  <c r="D15" i="1" l="1"/>
  <c r="C69" i="3"/>
  <c r="C92" i="3" l="1"/>
  <c r="C84" i="3"/>
  <c r="D48" i="4" l="1"/>
  <c r="C82" i="3"/>
  <c r="D15" i="4" l="1"/>
  <c r="D17" i="1"/>
  <c r="D9" i="5"/>
  <c r="D8" i="2"/>
  <c r="D9" i="1" l="1"/>
  <c r="D8" i="1"/>
  <c r="D14" i="2"/>
  <c r="D13" i="4" l="1"/>
  <c r="D54" i="5" l="1"/>
  <c r="D52" i="5"/>
  <c r="D57" i="5"/>
  <c r="D44" i="5"/>
  <c r="D42" i="5"/>
  <c r="D37" i="5"/>
  <c r="D7" i="5"/>
  <c r="D25" i="5" s="1"/>
  <c r="D67" i="4"/>
  <c r="D50" i="4"/>
  <c r="D19" i="4"/>
  <c r="D9" i="4"/>
  <c r="D7" i="4" s="1"/>
  <c r="D8" i="4"/>
  <c r="D11" i="4"/>
  <c r="D25" i="4" s="1"/>
  <c r="D43" i="1"/>
  <c r="D45" i="1"/>
  <c r="D46" i="1"/>
  <c r="D47" i="1"/>
  <c r="D49" i="1"/>
  <c r="D19" i="1"/>
  <c r="D13" i="1"/>
  <c r="C91" i="3"/>
  <c r="C90" i="3"/>
  <c r="C89" i="3"/>
  <c r="C83" i="3"/>
  <c r="C81" i="3"/>
  <c r="C72" i="3"/>
  <c r="C93" i="3" l="1"/>
  <c r="C86" i="3"/>
  <c r="D31" i="5"/>
  <c r="D67" i="5" s="1"/>
  <c r="D60" i="5"/>
  <c r="D62" i="5" s="1"/>
  <c r="D11" i="1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D39" i="2"/>
  <c r="D28" i="2"/>
  <c r="D20" i="2"/>
  <c r="D19" i="2"/>
  <c r="D12" i="2"/>
  <c r="D11" i="2"/>
  <c r="D7" i="1"/>
  <c r="C65" i="3" l="1"/>
  <c r="C15" i="3"/>
  <c r="D38" i="4" s="1"/>
  <c r="C41" i="3"/>
  <c r="D39" i="4" s="1"/>
  <c r="D25" i="1"/>
  <c r="D38" i="1" l="1"/>
  <c r="D52" i="1" s="1"/>
  <c r="D37" i="4"/>
  <c r="C95" i="3"/>
  <c r="D31" i="1"/>
  <c r="D57" i="1"/>
  <c r="D37" i="1"/>
  <c r="D27" i="1"/>
  <c r="D60" i="1" l="1"/>
  <c r="D62" i="1" s="1"/>
  <c r="D60" i="4"/>
  <c r="D62" i="4" s="1"/>
  <c r="D57" i="4"/>
  <c r="D52" i="4"/>
  <c r="D54" i="4" s="1"/>
</calcChain>
</file>

<file path=xl/sharedStrings.xml><?xml version="1.0" encoding="utf-8"?>
<sst xmlns="http://schemas.openxmlformats.org/spreadsheetml/2006/main" count="270" uniqueCount="156">
  <si>
    <t>אחים ואחיות - קרן השתלמות</t>
  </si>
  <si>
    <t>נספח 1 סך ההוצאות הישירות ששולמו בעד כל סוג של הוצאה ישירה לתקופה המסתיימת ביום - 31.12.2024</t>
  </si>
  <si>
    <t>אלפי ש''ח</t>
  </si>
  <si>
    <t>הוצאות ישירות שאינן מסוג עמלת ניהול חיצוני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</si>
  <si>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</si>
  <si>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</si>
  <si>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</si>
  <si>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</si>
  <si>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</si>
  <si>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</si>
  <si>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</si>
  <si>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</si>
  <si>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</si>
  <si>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</si>
  <si>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5. סך הוצאות בעד ניהול תביעות</t>
  </si>
  <si>
    <t>6 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</si>
  <si>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</si>
  <si>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 א. ו - 8 ב.)</t>
  </si>
  <si>
    <t>א. השווי המשוערך של נכסי הקופה או המסלול נכון ליום 31 דצמבר של שנת הכספים שהסתיימה ב 2024</t>
  </si>
  <si>
    <t>ב. השווי המשוערך של נכסי הקופה או המסלול נכון ליום 31 בדצמבר של שנת הכספים שהסתיימה ב 2023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</si>
  <si>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</si>
  <si>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</si>
  <si>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</si>
  <si>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סהכ הוצאות ישירות מסוג "עמלת ניהול חיצוני" (סכום סעיפים 11 א. עד 11 ט.)</t>
  </si>
  <si>
    <t>א. סך תשלומים הנובעים מהשקעה בקרנות השקעה בישראל</t>
  </si>
  <si>
    <t>ב. סך תשלומים הנובעים מהשקעה בקרנות השקעה בחול</t>
  </si>
  <si>
    <t>ג. סך תשלומים למנהלי תיקים ישראלים בגין השקעה בחול</t>
  </si>
  <si>
    <t>ד. סך תשלומים למנהלי תיקים זרים</t>
  </si>
  <si>
    <t>ה. סך תשלומים בגין השקעה בקרנות סל כאשר 75 אחוזים לפחות מנכסי הקרן הם נכסים שהונפקו במדינת ישראל</t>
  </si>
  <si>
    <t>לפי מדדים שעליהם הורה הממונה ובתנאים שהורה</t>
  </si>
  <si>
    <t>ו. סך תשלומים בגין השקעה בקרנות סל כאשר 75 אחוזים לפחות מנכסי הקרן הם נכסים שלא הונפקו במדינת</t>
  </si>
  <si>
    <t>ישראל ואינם נסחרים או מוחזקים בה</t>
  </si>
  <si>
    <t>ז. סך תשלומים בגין השקעה בקרנות נאמנות ישראליות כאשר 75 אחוזים לפחות מנכסי הקרן מושקעים בנכסים שלא</t>
  </si>
  <si>
    <t>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</si>
  <si>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</si>
  <si>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</si>
  <si>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</si>
  <si>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</si>
  <si>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</si>
  <si>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</si>
  <si>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</si>
  <si>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</si>
  <si>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</si>
  <si>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</si>
  <si>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</si>
  <si>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</t>
  </si>
  <si>
    <t>שנת הכספים הבאה 2025</t>
  </si>
  <si>
    <t>19. De: שיעור הוצאות ישירות (סכום של סעיף 9 וסעיף 18)</t>
  </si>
  <si>
    <t>נספח 2 פרוט עמלות והוצאות שאינן עמלות ניהול חיצוני לשנה המסתיימת ביום: 31.12.2024</t>
  </si>
  <si>
    <t>ברוקארז' - עמלות קנייה ומכירה בגין ביצוע עסקאות בניירות ערך סחירים</t>
  </si>
  <si>
    <t>צדדים קשורים</t>
  </si>
  <si>
    <t>(1)</t>
  </si>
  <si>
    <t>מיטב 5018</t>
  </si>
  <si>
    <t>צדדים שאינם קשורים</t>
  </si>
  <si>
    <t>ברוקר דיסקונט</t>
  </si>
  <si>
    <t>(2)</t>
  </si>
  <si>
    <t>בנק לאומי</t>
  </si>
  <si>
    <t>(3)</t>
  </si>
  <si>
    <t>ברוקר זר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</si>
  <si>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</si>
  <si>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</si>
  <si>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</si>
  <si>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</si>
  <si>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</si>
  <si>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</si>
  <si>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</si>
  <si>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</si>
  <si>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</si>
  <si>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</si>
  <si>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</si>
  <si>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</si>
  <si>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</si>
  <si>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</si>
  <si>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</si>
  <si>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 31.12.2024</t>
  </si>
  <si>
    <t>תשלום הנובע מהשקעה בקרנות השקעה בישראל</t>
  </si>
  <si>
    <t>קוגיטו קפיטל אס.אם.אי שותפות מוגבלת</t>
  </si>
  <si>
    <t>ISF II, LP</t>
  </si>
  <si>
    <t xml:space="preserve">קוגיטו קפיטל משלימה </t>
  </si>
  <si>
    <t xml:space="preserve"> ARBEL </t>
  </si>
  <si>
    <t>Klirmark Opportunity fund  III</t>
  </si>
  <si>
    <t>ארבל 2</t>
  </si>
  <si>
    <t>SKY 4</t>
  </si>
  <si>
    <t>KLIRMARK IV</t>
  </si>
  <si>
    <t>סך תשלומים הנובעים מהשקעה בקרנות השקעה בישראל</t>
  </si>
  <si>
    <t>תשלום הנובע מהשקעה בקרנות השקעה בחול</t>
  </si>
  <si>
    <t>קרן רוטשילד נדל"ן</t>
  </si>
  <si>
    <t>DOVER STREET IX</t>
  </si>
  <si>
    <t>ALTO III</t>
  </si>
  <si>
    <t>ICG STRATEGIC SEC FUND II</t>
  </si>
  <si>
    <t>BLUE ATLANTIC PARTNERS II</t>
  </si>
  <si>
    <t>קרן MIGS</t>
  </si>
  <si>
    <t>InfraRed V</t>
  </si>
  <si>
    <t>IBI SBL</t>
  </si>
  <si>
    <t>ICG SSF III</t>
  </si>
  <si>
    <t>Colchis</t>
  </si>
  <si>
    <t>Cvc Strategic II</t>
  </si>
  <si>
    <t>Terra Gen</t>
  </si>
  <si>
    <t>Gatewood II</t>
  </si>
  <si>
    <t>FIMI VII</t>
  </si>
  <si>
    <t>HarbourVest Direct Lending (L) Feeder Fund</t>
  </si>
  <si>
    <t>Electra America  Hospitality</t>
  </si>
  <si>
    <t>Penfund Capital Fund VII</t>
  </si>
  <si>
    <t>SCHRODERS</t>
  </si>
  <si>
    <t>Allianz</t>
  </si>
  <si>
    <t>PGIF IV Feeder (Luxembourg) SCSp</t>
  </si>
  <si>
    <t>Hamilton Lane Equity Opportunities Fund V-B LP</t>
  </si>
  <si>
    <t>Fortissimo VI</t>
  </si>
  <si>
    <t>Coller Capital CIP IX</t>
  </si>
  <si>
    <t>סך תשלומים הנובעים מהשקעה בקרנות השקעה בחול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</si>
  <si>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</si>
  <si>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</si>
  <si>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</si>
  <si>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</si>
  <si>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</si>
  <si>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</si>
  <si>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קסם קרנות נאמנות בע"מ</t>
  </si>
  <si>
    <t>מגדל קרנות נאמנות בע"מ</t>
  </si>
  <si>
    <t>הראל קרנות נאמנות בע"מ</t>
  </si>
  <si>
    <t xml:space="preserve">BlackRock  Asset Managment </t>
  </si>
  <si>
    <t>Amundi Asset Management</t>
  </si>
  <si>
    <t>State Street Corp</t>
  </si>
  <si>
    <t>Invesco investment management limited</t>
  </si>
  <si>
    <t>LYXOR ETF</t>
  </si>
  <si>
    <t>Vanguard Group</t>
  </si>
  <si>
    <t>Global X Management Co LLc</t>
  </si>
  <si>
    <t>WisdomTree Europe ltd</t>
  </si>
  <si>
    <t>KRANESHARES</t>
  </si>
  <si>
    <t>First trust</t>
  </si>
  <si>
    <t>סך תשלום למנהלי קרנות סל</t>
  </si>
  <si>
    <t>סך תשלומים בגין השקעה בקרן סל כאשר 75% לפחות מנכסי הקרן הם נכסים</t>
  </si>
  <si>
    <t>שהונפקו במדינת ישראל לפי מדדים שעליהם הורה הממונה ובתנאים שהורה</t>
  </si>
  <si>
    <t>מור ניהול קרנות נאמנות בע"מ</t>
  </si>
  <si>
    <t>סך תשלום למנהלי קרן סל</t>
  </si>
  <si>
    <t>תשלום בגין השקעה בקרנות נאמנות ישראליות כאשר 75% לפחות מנכסי</t>
  </si>
  <si>
    <t>הקרן מושקעים בנכסים שלא הונפקו במדינת ישראל ואינם נסחרים או</t>
  </si>
  <si>
    <t>מוחזקים בה</t>
  </si>
  <si>
    <t>סך תשלומים למנהלי קרנות נאמנות ישראליות</t>
  </si>
  <si>
    <t>תשלום בגין השקעה בקרנות נאמנות זרות כאשר 75% לפחות מנכסי הקרן</t>
  </si>
  <si>
    <t>מושקעים בנכסים שלא הונפקו במדינת ישראל ואינם נסחרים או מוחזקים בה</t>
  </si>
  <si>
    <t>Kotak</t>
  </si>
  <si>
    <t>PRINCIPAL FINANCIAL</t>
  </si>
  <si>
    <t>סך תשלומים בגין השקעה בקרנות נאמנות זרות</t>
  </si>
  <si>
    <t>תשלומים בגין השקעה בקרן טכנולוגיה עילית</t>
  </si>
  <si>
    <t>אי בי אי ניהול קרנות נאמנות בע"מ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</si>
  <si>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</si>
  <si>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</si>
  <si>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</si>
  <si>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</si>
  <si>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</si>
  <si>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יהב השתלמות וחיסכון לאחים ואחיות מסלול כללי</t>
  </si>
  <si>
    <t>יהב השתלמות לאחים ואחיות  מסלול ללא מניות</t>
  </si>
  <si>
    <t>CIFC</t>
  </si>
  <si>
    <t>CAMALIA</t>
  </si>
  <si>
    <t>LYX MSCI ASI-PAC</t>
  </si>
  <si>
    <t>Aviva Investors Luxembourg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</si>
</sst>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readingOrder="1"/>
    </xf>
    <xf numFmtId="0" fontId="2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1"/>
    </xf>
    <xf numFmtId="0" fontId="6" fillId="0" borderId="0" xfId="0" applyFont="1"/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164" fontId="7" fillId="0" borderId="0" xfId="1" applyFont="1"/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 vertical="center"/>
    </xf>
    <xf numFmtId="164" fontId="7" fillId="0" borderId="0" xfId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164" fontId="9" fillId="0" borderId="0" xfId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164" fontId="9" fillId="0" borderId="0" xfId="1" applyFont="1" applyAlignment="1">
      <alignment horizontal="right" vertical="center" readingOrder="2"/>
    </xf>
    <xf numFmtId="0" fontId="11" fillId="0" borderId="0" xfId="0" applyFont="1"/>
    <xf numFmtId="164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/>
    <xf numFmtId="0" fontId="10" fillId="0" borderId="0" xfId="0" applyFont="1"/>
    <xf numFmtId="164" fontId="10" fillId="0" borderId="0" xfId="1" applyFont="1"/>
    <xf numFmtId="164" fontId="12" fillId="0" borderId="0" xfId="1" applyFont="1"/>
    <xf numFmtId="164" fontId="5" fillId="0" borderId="0" xfId="1" applyFont="1"/>
    <xf numFmtId="0" fontId="9" fillId="0" borderId="0" xfId="0" applyFont="1" applyAlignment="1">
      <alignment horizontal="right"/>
    </xf>
    <xf numFmtId="164" fontId="9" fillId="0" borderId="0" xfId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2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5" fillId="0" borderId="0" xfId="1" applyFont="1" applyAlignment="1">
      <alignment horizontal="right" vertical="center"/>
    </xf>
    <xf numFmtId="0" fontId="7" fillId="0" borderId="0" xfId="0" applyFont="1" applyAlignment="1">
      <alignment horizontal="right" readingOrder="1"/>
    </xf>
    <xf numFmtId="164" fontId="7" fillId="0" borderId="0" xfId="1" applyFont="1" applyFill="1"/>
    <xf numFmtId="0" fontId="8" fillId="0" borderId="0" xfId="0" applyFont="1" applyAlignment="1">
      <alignment horizontal="right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readingOrder="2"/>
    </xf>
    <xf numFmtId="164" fontId="8" fillId="0" borderId="0" xfId="1" applyFont="1" applyFill="1" applyAlignment="1">
      <alignment horizontal="center" vertical="center"/>
    </xf>
    <xf numFmtId="0" fontId="10" fillId="0" borderId="0" xfId="0" applyFont="1" applyAlignment="1">
      <alignment horizontal="right" readingOrder="2"/>
    </xf>
    <xf numFmtId="0" fontId="9" fillId="0" borderId="0" xfId="0" applyFont="1" applyAlignment="1">
      <alignment vertical="center"/>
    </xf>
    <xf numFmtId="164" fontId="10" fillId="0" borderId="0" xfId="1" applyFont="1" applyFill="1" applyAlignment="1">
      <alignment horizontal="center" vertical="center"/>
    </xf>
    <xf numFmtId="0" fontId="10" fillId="0" borderId="0" xfId="0" applyFont="1" applyAlignment="1">
      <alignment horizontal="right" readingOrder="1"/>
    </xf>
    <xf numFmtId="164" fontId="9" fillId="0" borderId="0" xfId="1" applyFont="1" applyFill="1"/>
    <xf numFmtId="0" fontId="9" fillId="0" borderId="0" xfId="0" applyFont="1" applyAlignment="1">
      <alignment horizontal="right" readingOrder="2"/>
    </xf>
    <xf numFmtId="164" fontId="9" fillId="0" borderId="0" xfId="1" applyFont="1" applyFill="1" applyAlignment="1">
      <alignment horizontal="center"/>
    </xf>
    <xf numFmtId="0" fontId="9" fillId="0" borderId="0" xfId="0" applyFont="1" applyAlignment="1">
      <alignment horizontal="right" readingOrder="1"/>
    </xf>
    <xf numFmtId="10" fontId="9" fillId="0" borderId="0" xfId="2" applyNumberFormat="1" applyFont="1" applyFill="1"/>
    <xf numFmtId="10" fontId="13" fillId="0" borderId="0" xfId="2" applyNumberFormat="1" applyFont="1"/>
    <xf numFmtId="43" fontId="3" fillId="0" borderId="0" xfId="0" applyNumberFormat="1" applyFont="1"/>
    <xf numFmtId="164" fontId="9" fillId="0" borderId="0" xfId="0" applyNumberFormat="1" applyFont="1"/>
    <xf numFmtId="2" fontId="9" fillId="0" borderId="0" xfId="0" applyNumberFormat="1" applyFont="1"/>
    <xf numFmtId="164" fontId="14" fillId="0" borderId="0" xfId="1" applyFont="1" applyFill="1"/>
    <xf numFmtId="164" fontId="15" fillId="0" borderId="0" xfId="1" applyFont="1" applyFill="1" applyAlignment="1">
      <alignment horizontal="center" vertical="center"/>
    </xf>
    <xf numFmtId="164" fontId="16" fillId="0" borderId="0" xfId="1" applyFont="1" applyFill="1" applyAlignment="1">
      <alignment horizontal="center" vertical="center"/>
    </xf>
    <xf numFmtId="164" fontId="14" fillId="0" borderId="0" xfId="1" applyFont="1" applyFill="1" applyAlignment="1">
      <alignment horizontal="center"/>
    </xf>
    <xf numFmtId="10" fontId="14" fillId="0" borderId="0" xfId="2" applyNumberFormat="1" applyFont="1" applyFill="1"/>
    <xf numFmtId="164" fontId="12" fillId="0" borderId="0" xfId="1" applyFont="1" applyFill="1" applyAlignment="1">
      <alignment horizontal="center" vertical="center"/>
    </xf>
    <xf numFmtId="43" fontId="9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account\Name\ALL\&#1510;&#1493;&#1493;&#1514;%20&#1513;&#1497;\&#1492;&#1493;&#1510;&#1488;&#1493;&#1514;%20&#1497;&#1513;&#1497;&#1512;&#1493;&#1514;\2023\Q4\&#1512;&#1490;&#1493;&#1500;&#1510;&#1497;&#1492;%20&#1495;&#1491;&#1513;&#1492;\&#1512;&#1493;&#1508;&#1488;&#1497;&#1501;\&#1492;&#1493;&#1510;&#1488;&#1493;&#1514;%20&#1497;&#1513;&#1497;&#1512;&#1493;&#1514;%20V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&#1510;&#1493;&#1493;&#1514;%20&#1488;&#1500;&#1496;&#1513;&#1493;&#1500;&#1512;\&#1492;&#1493;&#1510;&#1488;&#1493;&#1514;%20&#1497;&#1513;&#1497;&#1512;&#1493;&#1514;\&#1488;&#1495;&#1497;&#1501;%20&#1493;&#1488;&#1495;&#1497;&#1493;&#1514;\2024\&#1512;&#1489;&#1506;&#1493;&#1503;%204\&#1505;&#1497;&#1499;&#1493;&#1501;%20&#1492;&#1493;&#1510;&#1488;&#1493;&#1514;%20&#1497;&#1513;&#1497;&#1512;&#1493;&#1514;\31-12-2024\&#1505;&#1497;&#1499;&#1493;&#1501;%20&#1492;&#1493;&#1510;&#1488;&#1493;&#1514;%20&#1497;&#1513;&#1497;&#1512;&#1493;&#1514;%205041%2031-12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השתלמות עובדי מדינה</v>
          </cell>
        </row>
        <row r="4">
          <cell r="D4" t="str">
            <v>קרן השתלמות</v>
          </cell>
        </row>
        <row r="5">
          <cell r="D5">
            <v>45106</v>
          </cell>
        </row>
        <row r="7">
          <cell r="D7" t="str">
            <v>כן לכלול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"/>
      <sheetName val="נספח לאוצר"/>
      <sheetName val="codexAttache"/>
      <sheetName val="הנחות עבודה"/>
      <sheetName val="startSettings"/>
      <sheetName val="CONVERT"/>
      <sheetName val="MASLUL"/>
      <sheetName val="importMASLUL"/>
      <sheetName val="KUPOT"/>
      <sheetName val="מיפוי חברות ומסלולים"/>
      <sheetName val="גיליון3"/>
      <sheetName val="נספח 1"/>
      <sheetName val="נספח 2"/>
      <sheetName val="נספח 3"/>
      <sheetName val="LOG1"/>
      <sheetName val="sumLOG1"/>
      <sheetName val="attache1"/>
      <sheetName val="LOG2"/>
      <sheetName val="sumLOG2"/>
      <sheetName val="attache2"/>
      <sheetName val="LOG3"/>
      <sheetName val="sumLOG3"/>
      <sheetName val="attacheMapping"/>
      <sheetName val="attache3"/>
      <sheetName val="סעיפים לוג"/>
      <sheetName val="funds"/>
      <sheetName val="fundsHUL"/>
      <sheetName val="דוח תנועות FC דנאל"/>
      <sheetName val="sumDanel"/>
      <sheetName val="Atlas_MF"/>
      <sheetName val="sumAtlas"/>
      <sheetName val="מאזן חודש נוכחי"/>
      <sheetName val="מאזן תחילת תקופה"/>
      <sheetName val="sumMazan"/>
      <sheetName val="Manpik"/>
      <sheetName val="קרנות השקעה"/>
      <sheetName val="VALIDATION"/>
      <sheetName val="NAMES"/>
    </sheetNames>
    <sheetDataSet>
      <sheetData sheetId="0">
        <row r="5">
          <cell r="C5" t="str">
            <v>אחים ואחיות</v>
          </cell>
        </row>
        <row r="7">
          <cell r="C7">
            <v>45657</v>
          </cell>
        </row>
      </sheetData>
      <sheetData sheetId="1" refreshError="1"/>
      <sheetData sheetId="2" refreshError="1"/>
      <sheetData sheetId="3" refreshError="1"/>
      <sheetData sheetId="4">
        <row r="1">
          <cell r="B1" t="str">
            <v>KupaNoga</v>
          </cell>
          <cell r="J1" t="str">
            <v>מספר אוצר</v>
          </cell>
        </row>
        <row r="2">
          <cell r="B2">
            <v>5041</v>
          </cell>
          <cell r="J2">
            <v>418</v>
          </cell>
        </row>
        <row r="3">
          <cell r="B3">
            <v>5041</v>
          </cell>
          <cell r="J3">
            <v>1456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9190-6506-4677-BC20-71A711149BAB}">
  <sheetPr codeName="Sheet3">
    <tabColor rgb="FF002060"/>
  </sheetPr>
  <dimension ref="B2:E68"/>
  <sheetViews>
    <sheetView showGridLines="0" rightToLeft="1" topLeftCell="A10" zoomScale="85" zoomScaleNormal="85" workbookViewId="0">
      <selection activeCell="C9" sqref="C9"/>
    </sheetView>
  </sheetViews>
  <sheetFormatPr defaultColWidth="9.125" defaultRowHeight="14.25" x14ac:dyDescent="0.2"/>
  <cols>
    <col min="1" max="1" width="2.75" style="3" customWidth="1"/>
    <col min="2" max="2" width="5.625" style="9" customWidth="1"/>
    <col min="3" max="3" width="74.25" style="3" customWidth="1"/>
    <col min="4" max="4" width="12.5" style="65" bestFit="1" customWidth="1"/>
    <col min="5" max="16384" width="9.125" style="3"/>
  </cols>
  <sheetData>
    <row r="2" spans="2:5" ht="18" customHeight="1" x14ac:dyDescent="0.25">
      <c r="B2" s="1" t="s">
        <v>0</v>
      </c>
      <c r="C2" s="2"/>
    </row>
    <row r="3" spans="2:5" ht="18" customHeight="1" x14ac:dyDescent="0.25">
      <c r="B3" s="4"/>
    </row>
    <row r="4" spans="2:5" ht="18" customHeight="1" x14ac:dyDescent="0.25">
      <c r="B4" s="5" t="s">
        <v>1</v>
      </c>
      <c r="C4" s="2"/>
      <c r="D4" s="66" t="s">
        <v>2</v>
      </c>
    </row>
    <row r="5" spans="2:5" ht="18" customHeight="1" x14ac:dyDescent="0.25">
      <c r="B5" s="6"/>
      <c r="C5" s="2"/>
      <c r="D5" s="67"/>
    </row>
    <row r="6" spans="2:5" ht="18" customHeight="1" x14ac:dyDescent="0.25">
      <c r="B6" s="7" t="s">
        <v>3</v>
      </c>
    </row>
    <row r="7" spans="2:5" ht="18" customHeight="1" x14ac:dyDescent="0.2">
      <c r="B7" s="8" t="s">
        <v>4</v>
      </c>
      <c r="D7" s="68">
        <f>SUM(D8:D9)</f>
        <v>467.81036870599996</v>
      </c>
      <c r="E7" s="62"/>
    </row>
    <row r="8" spans="2:5" ht="18" customHeight="1" x14ac:dyDescent="0.2">
      <c r="C8" s="3" t="s">
        <v>5</v>
      </c>
      <c r="D8" s="65">
        <f>+'418'!D8+'1456'!D8</f>
        <v>53.11103</v>
      </c>
      <c r="E8" s="62"/>
    </row>
    <row r="9" spans="2:5" ht="18" customHeight="1" x14ac:dyDescent="0.2">
      <c r="C9" s="3" t="s">
        <v>6</v>
      </c>
      <c r="D9" s="65">
        <f>+'418'!D9+'1456'!D9</f>
        <v>414.69933870599999</v>
      </c>
      <c r="E9" s="62"/>
    </row>
    <row r="10" spans="2:5" ht="18" customHeight="1" x14ac:dyDescent="0.25">
      <c r="C10" s="10"/>
      <c r="E10" s="62"/>
    </row>
    <row r="11" spans="2:5" ht="18" customHeight="1" x14ac:dyDescent="0.2">
      <c r="B11" s="8" t="s">
        <v>7</v>
      </c>
      <c r="D11" s="68">
        <f>SUM(D12:D13)</f>
        <v>27.746400000000001</v>
      </c>
      <c r="E11" s="62"/>
    </row>
    <row r="12" spans="2:5" ht="18" customHeight="1" x14ac:dyDescent="0.2">
      <c r="C12" s="9" t="s">
        <v>8</v>
      </c>
      <c r="E12" s="62"/>
    </row>
    <row r="13" spans="2:5" ht="18" customHeight="1" x14ac:dyDescent="0.2">
      <c r="C13" s="9" t="s">
        <v>9</v>
      </c>
      <c r="D13" s="65">
        <f>+'418'!D13+'1456'!D13</f>
        <v>27.746400000000001</v>
      </c>
      <c r="E13" s="62"/>
    </row>
    <row r="14" spans="2:5" ht="18" customHeight="1" x14ac:dyDescent="0.2">
      <c r="C14" s="9"/>
      <c r="E14" s="62"/>
    </row>
    <row r="15" spans="2:5" ht="18" customHeight="1" x14ac:dyDescent="0.2">
      <c r="B15" s="8" t="s">
        <v>10</v>
      </c>
      <c r="D15" s="68">
        <f>+D16</f>
        <v>0</v>
      </c>
      <c r="E15" s="62"/>
    </row>
    <row r="16" spans="2:5" ht="18" customHeight="1" x14ac:dyDescent="0.2">
      <c r="C16" s="9" t="s">
        <v>11</v>
      </c>
      <c r="D16" s="65">
        <f>+'418'!D16+'1456'!D16</f>
        <v>0</v>
      </c>
      <c r="E16" s="62"/>
    </row>
    <row r="17" spans="2:5" ht="18" customHeight="1" x14ac:dyDescent="0.2">
      <c r="C17" s="9" t="s">
        <v>12</v>
      </c>
      <c r="D17" s="65">
        <f>+'418'!D17+'1456'!D17</f>
        <v>0</v>
      </c>
      <c r="E17" s="62"/>
    </row>
    <row r="18" spans="2:5" ht="18" customHeight="1" x14ac:dyDescent="0.2">
      <c r="E18" s="62"/>
    </row>
    <row r="19" spans="2:5" ht="18" customHeight="1" x14ac:dyDescent="0.2">
      <c r="B19" s="8" t="s">
        <v>13</v>
      </c>
      <c r="D19" s="65">
        <f>+'418'!D19+'1456'!D19</f>
        <v>1080.8170000000002</v>
      </c>
      <c r="E19" s="62"/>
    </row>
    <row r="20" spans="2:5" ht="18" customHeight="1" x14ac:dyDescent="0.2">
      <c r="B20" s="8"/>
      <c r="E20" s="62"/>
    </row>
    <row r="21" spans="2:5" ht="18" customHeight="1" x14ac:dyDescent="0.2">
      <c r="B21" s="8" t="s">
        <v>14</v>
      </c>
      <c r="D21" s="65">
        <v>0</v>
      </c>
      <c r="E21" s="62"/>
    </row>
    <row r="22" spans="2:5" ht="18" customHeight="1" x14ac:dyDescent="0.2">
      <c r="B22" s="8"/>
      <c r="E22" s="62"/>
    </row>
    <row r="23" spans="2:5" ht="18" customHeight="1" x14ac:dyDescent="0.2">
      <c r="B23" s="8" t="s">
        <v>15</v>
      </c>
      <c r="D23" s="65">
        <v>0</v>
      </c>
      <c r="E23" s="62"/>
    </row>
    <row r="24" spans="2:5" ht="18" customHeight="1" x14ac:dyDescent="0.2">
      <c r="B24" s="8"/>
      <c r="E24" s="62"/>
    </row>
    <row r="25" spans="2:5" ht="18" customHeight="1" x14ac:dyDescent="0.2">
      <c r="B25" s="8" t="s">
        <v>16</v>
      </c>
      <c r="D25" s="65">
        <f>D8+D9+D12+D13+D16+D17+D19+D21+D23</f>
        <v>1576.3737687060002</v>
      </c>
      <c r="E25" s="62"/>
    </row>
    <row r="26" spans="2:5" ht="18" customHeight="1" x14ac:dyDescent="0.2">
      <c r="B26" s="8"/>
      <c r="E26" s="62"/>
    </row>
    <row r="27" spans="2:5" ht="18" customHeight="1" x14ac:dyDescent="0.2">
      <c r="B27" s="8" t="s">
        <v>17</v>
      </c>
      <c r="D27" s="65">
        <f>IFERROR(AVERAGE(D28:D29),0)</f>
        <v>2058812.556325</v>
      </c>
      <c r="E27" s="62"/>
    </row>
    <row r="28" spans="2:5" ht="18" customHeight="1" x14ac:dyDescent="0.2">
      <c r="C28" s="3" t="s">
        <v>18</v>
      </c>
      <c r="D28" s="65">
        <v>2093638.8523599999</v>
      </c>
      <c r="E28" s="62"/>
    </row>
    <row r="29" spans="2:5" ht="18" customHeight="1" x14ac:dyDescent="0.2">
      <c r="C29" s="3" t="s">
        <v>19</v>
      </c>
      <c r="D29" s="65">
        <v>2023986.2602900001</v>
      </c>
      <c r="E29" s="62"/>
    </row>
    <row r="30" spans="2:5" ht="18" customHeight="1" x14ac:dyDescent="0.2">
      <c r="E30" s="62"/>
    </row>
    <row r="31" spans="2:5" ht="18" customHeight="1" x14ac:dyDescent="0.2">
      <c r="B31" s="8" t="s">
        <v>20</v>
      </c>
      <c r="D31" s="69">
        <f>IFERROR(D25/D27,0)</f>
        <v>7.6567133994939415E-4</v>
      </c>
      <c r="E31" s="62"/>
    </row>
    <row r="32" spans="2:5" ht="18" customHeight="1" x14ac:dyDescent="0.2">
      <c r="B32" s="8"/>
      <c r="E32" s="62"/>
    </row>
    <row r="33" spans="2:5" ht="18" customHeight="1" x14ac:dyDescent="0.25">
      <c r="B33" s="6" t="s">
        <v>21</v>
      </c>
      <c r="E33" s="62"/>
    </row>
    <row r="34" spans="2:5" ht="18" customHeight="1" x14ac:dyDescent="0.2">
      <c r="B34" s="8" t="s">
        <v>22</v>
      </c>
      <c r="D34" s="65">
        <v>0</v>
      </c>
      <c r="E34" s="62"/>
    </row>
    <row r="35" spans="2:5" ht="18" customHeight="1" x14ac:dyDescent="0.2">
      <c r="B35" s="8"/>
      <c r="E35" s="62"/>
    </row>
    <row r="36" spans="2:5" ht="18" customHeight="1" x14ac:dyDescent="0.25">
      <c r="B36" s="11" t="s">
        <v>21</v>
      </c>
      <c r="E36" s="62"/>
    </row>
    <row r="37" spans="2:5" ht="18" customHeight="1" x14ac:dyDescent="0.2">
      <c r="B37" s="8" t="s">
        <v>23</v>
      </c>
      <c r="D37" s="65">
        <f>SUM(D38:D50)</f>
        <v>4244.7588561284056</v>
      </c>
      <c r="E37" s="62"/>
    </row>
    <row r="38" spans="2:5" ht="18" customHeight="1" x14ac:dyDescent="0.2">
      <c r="C38" s="8" t="s">
        <v>24</v>
      </c>
      <c r="D38" s="65">
        <f>+'418'!D38+'1456'!D38</f>
        <v>991.1923553234999</v>
      </c>
      <c r="E38" s="62"/>
    </row>
    <row r="39" spans="2:5" ht="18" customHeight="1" x14ac:dyDescent="0.2">
      <c r="C39" s="8" t="s">
        <v>25</v>
      </c>
      <c r="D39" s="65">
        <f>+'418'!D39+'1456'!D39</f>
        <v>1957.1399503859059</v>
      </c>
      <c r="E39" s="62"/>
    </row>
    <row r="40" spans="2:5" ht="18" customHeight="1" x14ac:dyDescent="0.2">
      <c r="C40" s="8" t="s">
        <v>26</v>
      </c>
      <c r="D40" s="65">
        <v>0</v>
      </c>
      <c r="E40" s="62"/>
    </row>
    <row r="41" spans="2:5" ht="18" customHeight="1" x14ac:dyDescent="0.2">
      <c r="C41" s="8" t="s">
        <v>27</v>
      </c>
      <c r="D41" s="65">
        <v>0</v>
      </c>
      <c r="E41" s="62"/>
    </row>
    <row r="42" spans="2:5" ht="18" customHeight="1" x14ac:dyDescent="0.2">
      <c r="C42" s="8" t="s">
        <v>28</v>
      </c>
      <c r="D42" s="65">
        <f>+'418'!D42+'1456'!D42</f>
        <v>4.5897127639999997</v>
      </c>
      <c r="E42" s="62"/>
    </row>
    <row r="43" spans="2:5" ht="18" customHeight="1" x14ac:dyDescent="0.2">
      <c r="C43" s="8" t="s">
        <v>29</v>
      </c>
      <c r="D43" s="65">
        <f>+'418'!D43+'1456'!D43</f>
        <v>0</v>
      </c>
      <c r="E43" s="62"/>
    </row>
    <row r="44" spans="2:5" ht="18" customHeight="1" x14ac:dyDescent="0.2">
      <c r="C44" s="8" t="s">
        <v>30</v>
      </c>
      <c r="D44" s="65">
        <f>+'418'!D44+'1456'!D44</f>
        <v>976.38332821100005</v>
      </c>
      <c r="E44" s="62"/>
    </row>
    <row r="45" spans="2:5" ht="18" customHeight="1" x14ac:dyDescent="0.2">
      <c r="C45" s="8" t="s">
        <v>31</v>
      </c>
      <c r="D45" s="65">
        <f>+'418'!D45+'1456'!D45</f>
        <v>0</v>
      </c>
      <c r="E45" s="62"/>
    </row>
    <row r="46" spans="2:5" ht="18" customHeight="1" x14ac:dyDescent="0.2">
      <c r="C46" s="3" t="s">
        <v>32</v>
      </c>
      <c r="D46" s="65">
        <f>+'418'!D46+'1456'!D46</f>
        <v>0</v>
      </c>
      <c r="E46" s="62"/>
    </row>
    <row r="47" spans="2:5" ht="18" customHeight="1" x14ac:dyDescent="0.2">
      <c r="C47" s="3" t="s">
        <v>33</v>
      </c>
      <c r="D47" s="65">
        <f>+'418'!D47+'1456'!D47</f>
        <v>0</v>
      </c>
      <c r="E47" s="62"/>
    </row>
    <row r="48" spans="2:5" ht="18" customHeight="1" x14ac:dyDescent="0.2">
      <c r="C48" s="3" t="s">
        <v>34</v>
      </c>
      <c r="D48" s="65">
        <f>+'418'!D48+'1456'!D48</f>
        <v>232.48031397699998</v>
      </c>
      <c r="E48" s="62"/>
    </row>
    <row r="49" spans="2:5" ht="18" customHeight="1" x14ac:dyDescent="0.2">
      <c r="C49" s="3" t="s">
        <v>33</v>
      </c>
      <c r="D49" s="65">
        <f>+'418'!D49+'1456'!D49</f>
        <v>0</v>
      </c>
      <c r="E49" s="62"/>
    </row>
    <row r="50" spans="2:5" ht="18" customHeight="1" x14ac:dyDescent="0.2">
      <c r="C50" s="3" t="s">
        <v>35</v>
      </c>
      <c r="D50" s="65">
        <f>+'418'!D50+'1456'!D50</f>
        <v>82.973195466999996</v>
      </c>
      <c r="E50" s="62"/>
    </row>
    <row r="51" spans="2:5" ht="18" customHeight="1" x14ac:dyDescent="0.2">
      <c r="E51" s="62"/>
    </row>
    <row r="52" spans="2:5" ht="18" customHeight="1" x14ac:dyDescent="0.2">
      <c r="B52" s="8" t="s">
        <v>36</v>
      </c>
      <c r="D52" s="69">
        <f>SUM(D38:D50)/D29</f>
        <v>2.0972271103857246E-3</v>
      </c>
      <c r="E52" s="62"/>
    </row>
    <row r="53" spans="2:5" ht="18" customHeight="1" x14ac:dyDescent="0.2">
      <c r="B53" s="8" t="s">
        <v>37</v>
      </c>
      <c r="D53" s="69"/>
      <c r="E53" s="62"/>
    </row>
    <row r="54" spans="2:5" ht="18" customHeight="1" x14ac:dyDescent="0.2">
      <c r="B54" s="8" t="s">
        <v>38</v>
      </c>
      <c r="D54" s="69"/>
      <c r="E54" s="62"/>
    </row>
    <row r="55" spans="2:5" ht="18" customHeight="1" x14ac:dyDescent="0.2">
      <c r="B55" s="8"/>
      <c r="E55" s="62"/>
    </row>
    <row r="56" spans="2:5" ht="18" customHeight="1" x14ac:dyDescent="0.2">
      <c r="B56" s="8" t="s">
        <v>39</v>
      </c>
      <c r="D56" s="65">
        <v>0</v>
      </c>
      <c r="E56" s="62"/>
    </row>
    <row r="57" spans="2:5" ht="18" customHeight="1" x14ac:dyDescent="0.2">
      <c r="B57" s="8" t="s">
        <v>40</v>
      </c>
      <c r="D57" s="69">
        <f>IFERROR((SUM(D38:D50)-D56)/D29,0)</f>
        <v>2.0972271103857246E-3</v>
      </c>
      <c r="E57" s="62"/>
    </row>
    <row r="58" spans="2:5" ht="18" customHeight="1" x14ac:dyDescent="0.2">
      <c r="B58" s="8"/>
      <c r="E58" s="62"/>
    </row>
    <row r="59" spans="2:5" ht="18" customHeight="1" x14ac:dyDescent="0.25">
      <c r="B59" s="11" t="s">
        <v>41</v>
      </c>
      <c r="E59" s="62"/>
    </row>
    <row r="60" spans="2:5" ht="18" customHeight="1" x14ac:dyDescent="0.2">
      <c r="B60" s="8" t="s">
        <v>42</v>
      </c>
      <c r="D60" s="65">
        <f>D25+SUM(D38:D50)-D56</f>
        <v>5821.1326248344058</v>
      </c>
      <c r="E60" s="62"/>
    </row>
    <row r="61" spans="2:5" ht="18" customHeight="1" x14ac:dyDescent="0.2">
      <c r="B61" s="8"/>
      <c r="E61" s="62"/>
    </row>
    <row r="62" spans="2:5" ht="18" customHeight="1" x14ac:dyDescent="0.2">
      <c r="B62" s="8" t="s">
        <v>43</v>
      </c>
      <c r="D62" s="69">
        <f>IFERROR(D60/D27,0)</f>
        <v>2.8274223444727689E-3</v>
      </c>
      <c r="E62" s="62"/>
    </row>
    <row r="63" spans="2:5" ht="18" customHeight="1" x14ac:dyDescent="0.2">
      <c r="B63" s="8"/>
      <c r="E63" s="62"/>
    </row>
    <row r="64" spans="2:5" ht="18" customHeight="1" x14ac:dyDescent="0.25">
      <c r="B64" s="11" t="s">
        <v>44</v>
      </c>
      <c r="E64" s="62"/>
    </row>
    <row r="65" spans="2:5" ht="18" customHeight="1" x14ac:dyDescent="0.2">
      <c r="B65" s="8" t="s">
        <v>45</v>
      </c>
      <c r="E65" s="62"/>
    </row>
    <row r="66" spans="2:5" ht="18" customHeight="1" x14ac:dyDescent="0.2">
      <c r="B66" s="8" t="s">
        <v>46</v>
      </c>
      <c r="D66" s="69"/>
      <c r="E66" s="62"/>
    </row>
    <row r="67" spans="2:5" ht="18" customHeight="1" x14ac:dyDescent="0.2">
      <c r="B67" s="8" t="s">
        <v>47</v>
      </c>
      <c r="D67" s="69"/>
      <c r="E67" s="62"/>
    </row>
    <row r="68" spans="2:5" x14ac:dyDescent="0.2">
      <c r="E68" s="6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C32B-B777-48C8-92E4-E2F698939A25}">
  <sheetPr codeName="Sheet4">
    <tabColor rgb="FF002060"/>
  </sheetPr>
  <dimension ref="B1:D39"/>
  <sheetViews>
    <sheetView showGridLines="0" rightToLeft="1" topLeftCell="A16" workbookViewId="0">
      <selection activeCell="D39" sqref="D39"/>
    </sheetView>
  </sheetViews>
  <sheetFormatPr defaultColWidth="9" defaultRowHeight="15" x14ac:dyDescent="0.2"/>
  <cols>
    <col min="1" max="1" width="2.75" style="22" customWidth="1"/>
    <col min="2" max="2" width="5.625" style="19" customWidth="1"/>
    <col min="3" max="3" width="58" style="34" bestFit="1" customWidth="1"/>
    <col min="4" max="4" width="10.125" style="35" bestFit="1" customWidth="1"/>
    <col min="5" max="16384" width="9" style="22"/>
  </cols>
  <sheetData>
    <row r="1" spans="2:4" s="14" customFormat="1" ht="18" x14ac:dyDescent="0.25">
      <c r="B1" s="12"/>
      <c r="C1" s="12"/>
      <c r="D1" s="13"/>
    </row>
    <row r="2" spans="2:4" s="14" customFormat="1" ht="18" x14ac:dyDescent="0.25">
      <c r="B2" s="15" t="s">
        <v>48</v>
      </c>
      <c r="C2" s="12"/>
      <c r="D2" s="13"/>
    </row>
    <row r="3" spans="2:4" s="14" customFormat="1" ht="18" x14ac:dyDescent="0.25">
      <c r="B3" s="12"/>
      <c r="C3" s="16"/>
      <c r="D3" s="17"/>
    </row>
    <row r="4" spans="2:4" s="14" customFormat="1" ht="18" x14ac:dyDescent="0.25">
      <c r="B4" s="18" t="s">
        <v>0</v>
      </c>
      <c r="C4" s="16"/>
      <c r="D4" s="17"/>
    </row>
    <row r="5" spans="2:4" x14ac:dyDescent="0.2">
      <c r="C5" s="20"/>
      <c r="D5" s="21"/>
    </row>
    <row r="6" spans="2:4" ht="15.75" x14ac:dyDescent="0.25">
      <c r="B6" s="23"/>
      <c r="C6" s="24" t="s">
        <v>49</v>
      </c>
      <c r="D6" s="25"/>
    </row>
    <row r="7" spans="2:4" ht="15.75" x14ac:dyDescent="0.25">
      <c r="B7" s="23"/>
      <c r="C7" s="26" t="s">
        <v>50</v>
      </c>
      <c r="D7" s="27" t="s">
        <v>2</v>
      </c>
    </row>
    <row r="8" spans="2:4" x14ac:dyDescent="0.2">
      <c r="B8" s="28" t="s">
        <v>51</v>
      </c>
      <c r="C8" s="28" t="s">
        <v>52</v>
      </c>
      <c r="D8" s="29">
        <f>2.86103+50.25</f>
        <v>53.11103</v>
      </c>
    </row>
    <row r="9" spans="2:4" ht="15.75" x14ac:dyDescent="0.25">
      <c r="B9" s="28"/>
      <c r="C9" s="26" t="s">
        <v>53</v>
      </c>
      <c r="D9" s="29"/>
    </row>
    <row r="10" spans="2:4" x14ac:dyDescent="0.2">
      <c r="B10" s="28" t="s">
        <v>51</v>
      </c>
      <c r="C10" s="28" t="s">
        <v>54</v>
      </c>
      <c r="D10" s="29">
        <v>10.908329999999999</v>
      </c>
    </row>
    <row r="11" spans="2:4" x14ac:dyDescent="0.2">
      <c r="B11" s="28" t="s">
        <v>55</v>
      </c>
      <c r="C11" s="28" t="s">
        <v>56</v>
      </c>
      <c r="D11" s="29">
        <f>114.234313285+271.67</f>
        <v>385.904313285</v>
      </c>
    </row>
    <row r="12" spans="2:4" x14ac:dyDescent="0.2">
      <c r="B12" s="28" t="s">
        <v>57</v>
      </c>
      <c r="C12" s="28" t="s">
        <v>58</v>
      </c>
      <c r="D12" s="29">
        <f>7.456695421+9.54</f>
        <v>16.996695420999998</v>
      </c>
    </row>
    <row r="13" spans="2:4" x14ac:dyDescent="0.2">
      <c r="B13" s="28">
        <v>-4</v>
      </c>
      <c r="C13" s="28" t="s">
        <v>153</v>
      </c>
      <c r="D13" s="29">
        <v>0.8878606</v>
      </c>
    </row>
    <row r="14" spans="2:4" ht="15.75" x14ac:dyDescent="0.25">
      <c r="B14" s="28"/>
      <c r="C14" s="30" t="s">
        <v>59</v>
      </c>
      <c r="D14" s="31">
        <f>SUM(D8:D13)</f>
        <v>467.80822930599999</v>
      </c>
    </row>
    <row r="15" spans="2:4" ht="15.75" x14ac:dyDescent="0.25">
      <c r="B15" s="28"/>
      <c r="C15" s="26"/>
      <c r="D15" s="29"/>
    </row>
    <row r="16" spans="2:4" ht="15.75" x14ac:dyDescent="0.25">
      <c r="B16" s="28"/>
      <c r="C16" s="24" t="s">
        <v>60</v>
      </c>
      <c r="D16" s="29"/>
    </row>
    <row r="17" spans="2:4" ht="15.75" x14ac:dyDescent="0.25">
      <c r="B17" s="28"/>
      <c r="C17" s="26" t="s">
        <v>50</v>
      </c>
      <c r="D17" s="31"/>
    </row>
    <row r="18" spans="2:4" ht="15.75" x14ac:dyDescent="0.25">
      <c r="B18" s="28"/>
      <c r="C18" s="26" t="s">
        <v>53</v>
      </c>
      <c r="D18" s="29"/>
    </row>
    <row r="19" spans="2:4" x14ac:dyDescent="0.2">
      <c r="B19" s="28" t="s">
        <v>51</v>
      </c>
      <c r="C19" s="28" t="s">
        <v>56</v>
      </c>
      <c r="D19" s="29">
        <f>9.4464+18.3</f>
        <v>27.746400000000001</v>
      </c>
    </row>
    <row r="20" spans="2:4" ht="15.75" x14ac:dyDescent="0.25">
      <c r="B20" s="28"/>
      <c r="C20" s="23" t="s">
        <v>61</v>
      </c>
      <c r="D20" s="31">
        <f>SUM(D19)</f>
        <v>27.746400000000001</v>
      </c>
    </row>
    <row r="21" spans="2:4" ht="15.75" x14ac:dyDescent="0.25">
      <c r="C21" s="26"/>
      <c r="D21" s="31"/>
    </row>
    <row r="22" spans="2:4" ht="15.75" x14ac:dyDescent="0.25">
      <c r="C22" s="26" t="s">
        <v>62</v>
      </c>
      <c r="D22" s="31">
        <f>SUM(D23)</f>
        <v>0</v>
      </c>
    </row>
    <row r="23" spans="2:4" ht="15.75" x14ac:dyDescent="0.25">
      <c r="C23" s="30" t="s">
        <v>63</v>
      </c>
      <c r="D23" s="31">
        <v>0</v>
      </c>
    </row>
    <row r="24" spans="2:4" ht="15.75" x14ac:dyDescent="0.25">
      <c r="C24" s="26"/>
      <c r="D24" s="31"/>
    </row>
    <row r="25" spans="2:4" ht="15.75" x14ac:dyDescent="0.25">
      <c r="C25" s="26" t="s">
        <v>64</v>
      </c>
      <c r="D25" s="31"/>
    </row>
    <row r="26" spans="2:4" ht="15.75" x14ac:dyDescent="0.25">
      <c r="C26" s="30" t="s">
        <v>65</v>
      </c>
      <c r="D26" s="31">
        <v>0</v>
      </c>
    </row>
    <row r="27" spans="2:4" ht="15.75" x14ac:dyDescent="0.25">
      <c r="C27" s="30"/>
      <c r="D27" s="31"/>
    </row>
    <row r="28" spans="2:4" ht="15.75" x14ac:dyDescent="0.25">
      <c r="C28" s="26" t="s">
        <v>66</v>
      </c>
      <c r="D28" s="32">
        <f>389.747+691.07</f>
        <v>1080.817</v>
      </c>
    </row>
    <row r="29" spans="2:4" ht="15.75" x14ac:dyDescent="0.25">
      <c r="C29" s="26"/>
      <c r="D29" s="31"/>
    </row>
    <row r="30" spans="2:4" ht="15.75" x14ac:dyDescent="0.25">
      <c r="C30" s="26" t="s">
        <v>67</v>
      </c>
      <c r="D30" s="31"/>
    </row>
    <row r="31" spans="2:4" ht="15.75" x14ac:dyDescent="0.25">
      <c r="C31" s="30" t="s">
        <v>68</v>
      </c>
      <c r="D31" s="31">
        <v>0</v>
      </c>
    </row>
    <row r="32" spans="2:4" ht="15.75" x14ac:dyDescent="0.25">
      <c r="C32" s="26"/>
      <c r="D32" s="31"/>
    </row>
    <row r="33" spans="3:4" ht="15.75" x14ac:dyDescent="0.25">
      <c r="C33" s="26" t="s">
        <v>69</v>
      </c>
      <c r="D33" s="31"/>
    </row>
    <row r="34" spans="3:4" ht="15.75" x14ac:dyDescent="0.25">
      <c r="C34" s="30" t="s">
        <v>70</v>
      </c>
      <c r="D34" s="31">
        <v>0</v>
      </c>
    </row>
    <row r="35" spans="3:4" ht="15.75" x14ac:dyDescent="0.25">
      <c r="C35" s="24"/>
      <c r="D35" s="33"/>
    </row>
    <row r="36" spans="3:4" ht="15.75" x14ac:dyDescent="0.25">
      <c r="C36" s="26" t="s">
        <v>71</v>
      </c>
      <c r="D36" s="33"/>
    </row>
    <row r="37" spans="3:4" ht="15.75" x14ac:dyDescent="0.25">
      <c r="C37" s="30" t="s">
        <v>72</v>
      </c>
      <c r="D37" s="31">
        <v>0</v>
      </c>
    </row>
    <row r="38" spans="3:4" ht="15.75" x14ac:dyDescent="0.25">
      <c r="C38" s="24"/>
      <c r="D38" s="33"/>
    </row>
    <row r="39" spans="3:4" ht="15.75" x14ac:dyDescent="0.25">
      <c r="C39" s="24" t="s">
        <v>73</v>
      </c>
      <c r="D39" s="33">
        <f>SUM(,D14,D20,D22,D28)</f>
        <v>1576.3716293059999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02FB-A47B-4096-9DF1-370334F7240B}">
  <sheetPr codeName="Sheet5">
    <tabColor rgb="FF002060"/>
  </sheetPr>
  <dimension ref="A1:G99"/>
  <sheetViews>
    <sheetView showGridLines="0" rightToLeft="1" topLeftCell="A70" zoomScaleNormal="100" workbookViewId="0"/>
  </sheetViews>
  <sheetFormatPr defaultColWidth="9" defaultRowHeight="15" x14ac:dyDescent="0.2"/>
  <cols>
    <col min="1" max="1" width="4.625" style="19" customWidth="1"/>
    <col min="2" max="2" width="71.5" style="22" bestFit="1" customWidth="1"/>
    <col min="3" max="3" width="17.875" style="35" bestFit="1" customWidth="1"/>
    <col min="4" max="4" width="20.875" style="35" customWidth="1"/>
    <col min="5" max="5" width="9.5" style="22" bestFit="1" customWidth="1"/>
    <col min="6" max="16384" width="9" style="22"/>
  </cols>
  <sheetData>
    <row r="1" spans="1:7" s="14" customFormat="1" ht="18" x14ac:dyDescent="0.25">
      <c r="A1" s="36"/>
      <c r="C1" s="13"/>
      <c r="D1" s="13"/>
    </row>
    <row r="2" spans="1:7" s="14" customFormat="1" ht="18" x14ac:dyDescent="0.25">
      <c r="A2" s="36"/>
      <c r="B2" s="37" t="s">
        <v>74</v>
      </c>
      <c r="C2" s="13"/>
      <c r="D2" s="13"/>
    </row>
    <row r="3" spans="1:7" s="14" customFormat="1" ht="18" x14ac:dyDescent="0.25">
      <c r="A3" s="36"/>
      <c r="B3" s="16"/>
      <c r="C3" s="13"/>
      <c r="D3" s="13"/>
    </row>
    <row r="4" spans="1:7" s="14" customFormat="1" ht="18" x14ac:dyDescent="0.25">
      <c r="A4" s="36"/>
      <c r="B4" s="38" t="s">
        <v>0</v>
      </c>
      <c r="C4" s="13"/>
      <c r="D4" s="13"/>
    </row>
    <row r="6" spans="1:7" ht="15.75" x14ac:dyDescent="0.25">
      <c r="B6" s="26" t="s">
        <v>75</v>
      </c>
      <c r="C6" s="27" t="s">
        <v>2</v>
      </c>
    </row>
    <row r="7" spans="1:7" x14ac:dyDescent="0.2">
      <c r="B7" s="39" t="s">
        <v>76</v>
      </c>
      <c r="C7" s="40">
        <v>10.784000000000001</v>
      </c>
      <c r="E7" s="64"/>
      <c r="G7" s="63"/>
    </row>
    <row r="8" spans="1:7" x14ac:dyDescent="0.2">
      <c r="B8" s="39" t="s">
        <v>77</v>
      </c>
      <c r="C8" s="40">
        <v>53.9214445</v>
      </c>
      <c r="E8" s="64"/>
    </row>
    <row r="9" spans="1:7" x14ac:dyDescent="0.2">
      <c r="B9" s="39" t="s">
        <v>78</v>
      </c>
      <c r="C9" s="40">
        <v>12.993333333333334</v>
      </c>
      <c r="E9" s="64"/>
    </row>
    <row r="10" spans="1:7" x14ac:dyDescent="0.2">
      <c r="B10" s="39" t="s">
        <v>79</v>
      </c>
      <c r="C10" s="40">
        <v>24.761333333333333</v>
      </c>
      <c r="E10" s="64"/>
    </row>
    <row r="11" spans="1:7" x14ac:dyDescent="0.2">
      <c r="B11" s="39" t="s">
        <v>80</v>
      </c>
      <c r="C11" s="40">
        <v>152.94399999999999</v>
      </c>
      <c r="E11" s="64"/>
    </row>
    <row r="12" spans="1:7" x14ac:dyDescent="0.2">
      <c r="B12" s="39" t="s">
        <v>81</v>
      </c>
      <c r="C12" s="40">
        <v>85.266666666666666</v>
      </c>
      <c r="E12" s="64"/>
    </row>
    <row r="13" spans="1:7" x14ac:dyDescent="0.2">
      <c r="B13" s="39" t="s">
        <v>82</v>
      </c>
      <c r="C13" s="40">
        <v>469.72557749016664</v>
      </c>
      <c r="E13" s="64"/>
    </row>
    <row r="14" spans="1:7" x14ac:dyDescent="0.2">
      <c r="B14" s="39" t="s">
        <v>83</v>
      </c>
      <c r="C14" s="40">
        <v>180.79599999999999</v>
      </c>
      <c r="E14" s="64"/>
    </row>
    <row r="15" spans="1:7" ht="15.75" x14ac:dyDescent="0.2">
      <c r="B15" s="41" t="s">
        <v>84</v>
      </c>
      <c r="C15" s="42">
        <f>SUM(C7:C14)</f>
        <v>991.1923553234999</v>
      </c>
    </row>
    <row r="16" spans="1:7" x14ac:dyDescent="0.2">
      <c r="B16" s="39"/>
      <c r="C16" s="40"/>
    </row>
    <row r="17" spans="2:5" ht="15.75" x14ac:dyDescent="0.25">
      <c r="B17" s="26" t="s">
        <v>85</v>
      </c>
      <c r="C17" s="40"/>
    </row>
    <row r="18" spans="2:5" x14ac:dyDescent="0.2">
      <c r="B18" s="39" t="s">
        <v>86</v>
      </c>
      <c r="C18" s="40">
        <v>9.9292932</v>
      </c>
      <c r="D18" s="39"/>
      <c r="E18" s="40"/>
    </row>
    <row r="19" spans="2:5" x14ac:dyDescent="0.2">
      <c r="B19" s="39" t="s">
        <v>87</v>
      </c>
      <c r="C19" s="40">
        <v>65.523179166666665</v>
      </c>
      <c r="D19" s="39"/>
      <c r="E19" s="40"/>
    </row>
    <row r="20" spans="2:5" x14ac:dyDescent="0.2">
      <c r="B20" s="39" t="s">
        <v>88</v>
      </c>
      <c r="C20" s="40">
        <v>97.594874999999988</v>
      </c>
      <c r="D20" s="39"/>
      <c r="E20" s="40"/>
    </row>
    <row r="21" spans="2:5" x14ac:dyDescent="0.2">
      <c r="B21" s="39" t="s">
        <v>89</v>
      </c>
      <c r="C21" s="40">
        <v>7.961422279999999</v>
      </c>
      <c r="D21" s="39"/>
      <c r="E21" s="40"/>
    </row>
    <row r="22" spans="2:5" x14ac:dyDescent="0.2">
      <c r="B22" s="39" t="s">
        <v>90</v>
      </c>
      <c r="C22" s="40">
        <v>139.43914249999997</v>
      </c>
      <c r="D22" s="39"/>
      <c r="E22" s="40"/>
    </row>
    <row r="23" spans="2:5" x14ac:dyDescent="0.2">
      <c r="B23" s="39" t="s">
        <v>91</v>
      </c>
      <c r="C23" s="40">
        <v>132.17367596999998</v>
      </c>
      <c r="D23" s="39"/>
      <c r="E23" s="40"/>
    </row>
    <row r="24" spans="2:5" x14ac:dyDescent="0.2">
      <c r="B24" s="39" t="s">
        <v>92</v>
      </c>
      <c r="C24" s="40">
        <v>40.916246000000001</v>
      </c>
      <c r="D24" s="39"/>
      <c r="E24" s="40"/>
    </row>
    <row r="25" spans="2:5" x14ac:dyDescent="0.2">
      <c r="B25" s="39" t="s">
        <v>93</v>
      </c>
      <c r="C25" s="40">
        <v>88.255660569999989</v>
      </c>
      <c r="D25" s="39"/>
      <c r="E25" s="40"/>
    </row>
    <row r="26" spans="2:5" x14ac:dyDescent="0.2">
      <c r="B26" s="39" t="s">
        <v>94</v>
      </c>
      <c r="C26" s="40">
        <v>41.047173999999998</v>
      </c>
      <c r="D26" s="39"/>
      <c r="E26" s="40"/>
    </row>
    <row r="27" spans="2:5" x14ac:dyDescent="0.2">
      <c r="B27" s="39" t="s">
        <v>95</v>
      </c>
      <c r="C27" s="40">
        <v>2.1092787874666663</v>
      </c>
      <c r="D27" s="39"/>
      <c r="E27" s="40"/>
    </row>
    <row r="28" spans="2:5" x14ac:dyDescent="0.2">
      <c r="B28" s="39" t="s">
        <v>96</v>
      </c>
      <c r="C28" s="40">
        <v>101.43490198666666</v>
      </c>
      <c r="D28" s="39"/>
      <c r="E28" s="40"/>
    </row>
    <row r="29" spans="2:5" x14ac:dyDescent="0.2">
      <c r="B29" s="39" t="s">
        <v>97</v>
      </c>
      <c r="C29" s="40">
        <v>65.613624999999999</v>
      </c>
      <c r="D29" s="39"/>
      <c r="E29" s="40"/>
    </row>
    <row r="30" spans="2:5" x14ac:dyDescent="0.2">
      <c r="B30" s="39" t="s">
        <v>98</v>
      </c>
      <c r="C30" s="40">
        <v>111.5625</v>
      </c>
      <c r="D30" s="39"/>
      <c r="E30" s="40"/>
    </row>
    <row r="31" spans="2:5" x14ac:dyDescent="0.2">
      <c r="B31" s="39" t="s">
        <v>99</v>
      </c>
      <c r="C31" s="40">
        <v>216.02203466666668</v>
      </c>
      <c r="D31" s="39"/>
      <c r="E31" s="40"/>
    </row>
    <row r="32" spans="2:5" x14ac:dyDescent="0.2">
      <c r="B32" s="39" t="s">
        <v>100</v>
      </c>
      <c r="C32" s="40">
        <v>54.440949500000002</v>
      </c>
      <c r="D32" s="39"/>
      <c r="E32" s="40"/>
    </row>
    <row r="33" spans="2:5" x14ac:dyDescent="0.2">
      <c r="B33" s="39" t="s">
        <v>101</v>
      </c>
      <c r="C33" s="40">
        <v>76.907472246916541</v>
      </c>
      <c r="D33" s="39"/>
      <c r="E33" s="40"/>
    </row>
    <row r="34" spans="2:5" x14ac:dyDescent="0.2">
      <c r="B34" s="39" t="s">
        <v>102</v>
      </c>
      <c r="C34" s="40">
        <v>122.57710911152297</v>
      </c>
      <c r="D34" s="39"/>
      <c r="E34" s="40"/>
    </row>
    <row r="35" spans="2:5" x14ac:dyDescent="0.2">
      <c r="B35" s="39" t="s">
        <v>103</v>
      </c>
      <c r="C35" s="40">
        <v>95.935199999999995</v>
      </c>
      <c r="D35" s="39"/>
      <c r="E35" s="40"/>
    </row>
    <row r="36" spans="2:5" x14ac:dyDescent="0.2">
      <c r="B36" s="39" t="s">
        <v>104</v>
      </c>
      <c r="C36" s="40">
        <v>41.431701499999996</v>
      </c>
      <c r="D36" s="39"/>
      <c r="E36" s="40"/>
    </row>
    <row r="37" spans="2:5" x14ac:dyDescent="0.2">
      <c r="B37" s="39" t="s">
        <v>105</v>
      </c>
      <c r="C37" s="40">
        <v>123.64281556666664</v>
      </c>
      <c r="D37" s="39"/>
      <c r="E37" s="40"/>
    </row>
    <row r="38" spans="2:5" x14ac:dyDescent="0.2">
      <c r="B38" s="39" t="s">
        <v>106</v>
      </c>
      <c r="C38" s="40">
        <v>108.52333333333334</v>
      </c>
      <c r="D38" s="39"/>
      <c r="E38" s="40"/>
    </row>
    <row r="39" spans="2:5" x14ac:dyDescent="0.2">
      <c r="B39" s="39" t="s">
        <v>107</v>
      </c>
      <c r="C39" s="40">
        <v>161.412384</v>
      </c>
      <c r="D39" s="39"/>
      <c r="E39" s="40"/>
    </row>
    <row r="40" spans="2:5" x14ac:dyDescent="0.2">
      <c r="B40" s="39" t="s">
        <v>108</v>
      </c>
      <c r="C40" s="40">
        <v>52.685975999999997</v>
      </c>
      <c r="D40" s="39"/>
      <c r="E40" s="40"/>
    </row>
    <row r="41" spans="2:5" ht="15.75" x14ac:dyDescent="0.2">
      <c r="B41" s="41" t="s">
        <v>109</v>
      </c>
      <c r="C41" s="43">
        <f>SUM(C18:C40)</f>
        <v>1957.1399503859059</v>
      </c>
    </row>
    <row r="42" spans="2:5" ht="15.75" x14ac:dyDescent="0.25">
      <c r="B42" s="26"/>
      <c r="C42" s="40"/>
    </row>
    <row r="43" spans="2:5" ht="15.75" x14ac:dyDescent="0.25">
      <c r="B43" s="26" t="s">
        <v>110</v>
      </c>
      <c r="C43" s="42"/>
    </row>
    <row r="44" spans="2:5" ht="15.75" x14ac:dyDescent="0.2">
      <c r="B44" s="41" t="s">
        <v>111</v>
      </c>
      <c r="C44" s="42">
        <v>0</v>
      </c>
    </row>
    <row r="45" spans="2:5" x14ac:dyDescent="0.2">
      <c r="B45" s="39"/>
      <c r="C45" s="40"/>
    </row>
    <row r="46" spans="2:5" ht="15.75" x14ac:dyDescent="0.25">
      <c r="B46" s="26" t="s">
        <v>112</v>
      </c>
      <c r="C46" s="40"/>
    </row>
    <row r="47" spans="2:5" ht="15.75" x14ac:dyDescent="0.2">
      <c r="B47" s="41" t="s">
        <v>113</v>
      </c>
      <c r="C47" s="42">
        <v>0</v>
      </c>
    </row>
    <row r="48" spans="2:5" x14ac:dyDescent="0.2">
      <c r="B48" s="39"/>
      <c r="C48" s="40"/>
    </row>
    <row r="49" spans="2:4" ht="15.75" x14ac:dyDescent="0.25">
      <c r="B49" s="26" t="s">
        <v>114</v>
      </c>
      <c r="C49" s="40"/>
    </row>
    <row r="50" spans="2:4" ht="15.75" x14ac:dyDescent="0.25">
      <c r="B50" s="26" t="s">
        <v>115</v>
      </c>
      <c r="C50" s="40"/>
    </row>
    <row r="51" spans="2:4" x14ac:dyDescent="0.2">
      <c r="B51" s="39" t="s">
        <v>116</v>
      </c>
      <c r="C51" s="40">
        <f>19.143328211+32.39</f>
        <v>51.533328210999997</v>
      </c>
      <c r="D51" s="40"/>
    </row>
    <row r="52" spans="2:4" x14ac:dyDescent="0.2">
      <c r="B52" s="39" t="s">
        <v>117</v>
      </c>
      <c r="C52" s="40">
        <f>4.550610047+7.71</f>
        <v>12.260610047</v>
      </c>
      <c r="D52" s="40"/>
    </row>
    <row r="53" spans="2:4" x14ac:dyDescent="0.2">
      <c r="B53" s="39" t="s">
        <v>118</v>
      </c>
      <c r="C53" s="40">
        <f>9.647244887+18.09</f>
        <v>27.737244886999999</v>
      </c>
      <c r="D53" s="40"/>
    </row>
    <row r="54" spans="2:4" x14ac:dyDescent="0.2">
      <c r="B54" s="39" t="s">
        <v>119</v>
      </c>
      <c r="C54" s="40">
        <f>38.7479575730001+227.17</f>
        <v>265.91795757300008</v>
      </c>
      <c r="D54" s="40"/>
    </row>
    <row r="55" spans="2:4" x14ac:dyDescent="0.2">
      <c r="B55" s="39" t="s">
        <v>120</v>
      </c>
      <c r="C55" s="40">
        <f>16.156848678+40.84</f>
        <v>56.996848678000006</v>
      </c>
      <c r="D55" s="40"/>
    </row>
    <row r="56" spans="2:4" x14ac:dyDescent="0.2">
      <c r="B56" s="39" t="s">
        <v>121</v>
      </c>
      <c r="C56" s="40">
        <f>24.480524655+50.31</f>
        <v>74.790524654999999</v>
      </c>
      <c r="D56" s="40"/>
    </row>
    <row r="57" spans="2:4" x14ac:dyDescent="0.2">
      <c r="B57" s="39" t="s">
        <v>122</v>
      </c>
      <c r="C57" s="40">
        <f>28.483968953+165.2</f>
        <v>193.68396895299998</v>
      </c>
      <c r="D57" s="40"/>
    </row>
    <row r="58" spans="2:4" x14ac:dyDescent="0.2">
      <c r="B58" s="39" t="s">
        <v>123</v>
      </c>
      <c r="C58" s="40">
        <f>8.81032157000001+23.36</f>
        <v>32.170321570000013</v>
      </c>
      <c r="D58" s="40"/>
    </row>
    <row r="59" spans="2:4" x14ac:dyDescent="0.2">
      <c r="B59" s="39" t="s">
        <v>124</v>
      </c>
      <c r="C59" s="40">
        <f>6.889689072+14.53</f>
        <v>21.419689072000001</v>
      </c>
      <c r="D59" s="40"/>
    </row>
    <row r="60" spans="2:4" x14ac:dyDescent="0.2">
      <c r="B60" s="39" t="s">
        <v>125</v>
      </c>
      <c r="C60" s="40">
        <f>8.844883792+23.16</f>
        <v>32.004883792000001</v>
      </c>
      <c r="D60" s="40"/>
    </row>
    <row r="61" spans="2:4" x14ac:dyDescent="0.2">
      <c r="B61" s="39" t="s">
        <v>126</v>
      </c>
      <c r="C61" s="40">
        <f>21.025971111+78.68</f>
        <v>99.705971111000011</v>
      </c>
      <c r="D61" s="40"/>
    </row>
    <row r="62" spans="2:4" x14ac:dyDescent="0.2">
      <c r="B62" s="39" t="s">
        <v>127</v>
      </c>
      <c r="C62" s="40">
        <f>5.631254817+27.92</f>
        <v>33.551254817</v>
      </c>
      <c r="D62" s="40"/>
    </row>
    <row r="63" spans="2:4" x14ac:dyDescent="0.2">
      <c r="B63" s="39" t="s">
        <v>128</v>
      </c>
      <c r="C63" s="40">
        <f>0.007750903+73.44</f>
        <v>73.447750902999999</v>
      </c>
      <c r="D63" s="40"/>
    </row>
    <row r="64" spans="2:4" x14ac:dyDescent="0.2">
      <c r="B64" s="39" t="s">
        <v>154</v>
      </c>
      <c r="C64" s="70">
        <v>1.158072027</v>
      </c>
      <c r="D64" s="70"/>
    </row>
    <row r="65" spans="2:3" ht="15.75" x14ac:dyDescent="0.25">
      <c r="B65" s="30" t="s">
        <v>129</v>
      </c>
      <c r="C65" s="31">
        <f>SUM(C51:C64)</f>
        <v>976.37842629600016</v>
      </c>
    </row>
    <row r="66" spans="2:3" ht="15.75" x14ac:dyDescent="0.2">
      <c r="B66" s="44"/>
      <c r="C66" s="45"/>
    </row>
    <row r="67" spans="2:3" ht="15.75" x14ac:dyDescent="0.25">
      <c r="B67" s="26" t="s">
        <v>130</v>
      </c>
      <c r="C67" s="42"/>
    </row>
    <row r="68" spans="2:3" ht="15.75" x14ac:dyDescent="0.25">
      <c r="B68" s="26" t="s">
        <v>131</v>
      </c>
    </row>
    <row r="69" spans="2:3" x14ac:dyDescent="0.2">
      <c r="B69" s="39" t="s">
        <v>116</v>
      </c>
      <c r="C69" s="40">
        <f>0.888896859+0.94</f>
        <v>1.8288968589999999</v>
      </c>
    </row>
    <row r="70" spans="2:3" x14ac:dyDescent="0.2">
      <c r="B70" s="39" t="s">
        <v>132</v>
      </c>
      <c r="C70" s="40">
        <v>1.8828274439999999</v>
      </c>
    </row>
    <row r="71" spans="2:3" x14ac:dyDescent="0.2">
      <c r="B71" s="39" t="s">
        <v>117</v>
      </c>
      <c r="C71" s="40">
        <v>0.88</v>
      </c>
    </row>
    <row r="72" spans="2:3" ht="15.75" x14ac:dyDescent="0.25">
      <c r="B72" s="30" t="s">
        <v>133</v>
      </c>
      <c r="C72" s="43">
        <f>SUM(C69:C71)</f>
        <v>4.5917243029999995</v>
      </c>
    </row>
    <row r="73" spans="2:3" ht="15.75" x14ac:dyDescent="0.25">
      <c r="B73" s="26"/>
    </row>
    <row r="74" spans="2:3" ht="15.75" x14ac:dyDescent="0.25">
      <c r="B74" s="26" t="s">
        <v>134</v>
      </c>
      <c r="C74" s="40"/>
    </row>
    <row r="75" spans="2:3" ht="15.75" x14ac:dyDescent="0.25">
      <c r="B75" s="26" t="s">
        <v>135</v>
      </c>
      <c r="C75" s="40"/>
    </row>
    <row r="76" spans="2:3" ht="15.75" x14ac:dyDescent="0.25">
      <c r="B76" s="26" t="s">
        <v>136</v>
      </c>
      <c r="C76" s="40"/>
    </row>
    <row r="77" spans="2:3" ht="15.75" x14ac:dyDescent="0.25">
      <c r="B77" s="30" t="s">
        <v>137</v>
      </c>
      <c r="C77" s="31"/>
    </row>
    <row r="78" spans="2:3" ht="15.75" x14ac:dyDescent="0.25">
      <c r="B78" s="26"/>
    </row>
    <row r="79" spans="2:3" ht="15.75" x14ac:dyDescent="0.25">
      <c r="B79" s="26" t="s">
        <v>138</v>
      </c>
      <c r="C79" s="40"/>
    </row>
    <row r="80" spans="2:3" ht="15.75" x14ac:dyDescent="0.25">
      <c r="B80" s="26" t="s">
        <v>139</v>
      </c>
      <c r="C80" s="40"/>
    </row>
    <row r="81" spans="2:5" x14ac:dyDescent="0.2">
      <c r="B81" s="39" t="s">
        <v>140</v>
      </c>
      <c r="C81" s="40">
        <f>20.593173874+51.95</f>
        <v>72.543173874000004</v>
      </c>
    </row>
    <row r="82" spans="2:5" x14ac:dyDescent="0.2">
      <c r="B82" s="39" t="s">
        <v>152</v>
      </c>
      <c r="C82" s="40">
        <f>8.817+1.409416438</f>
        <v>10.226416438000001</v>
      </c>
    </row>
    <row r="83" spans="2:5" x14ac:dyDescent="0.2">
      <c r="B83" s="39" t="s">
        <v>141</v>
      </c>
      <c r="C83" s="40">
        <f>12.929826469+63.89</f>
        <v>76.819826469000006</v>
      </c>
    </row>
    <row r="84" spans="2:5" x14ac:dyDescent="0.2">
      <c r="B84" s="39" t="s">
        <v>155</v>
      </c>
      <c r="C84" s="40">
        <f>23.256954925+49.63</f>
        <v>72.886954924999998</v>
      </c>
    </row>
    <row r="85" spans="2:5" x14ac:dyDescent="0.2">
      <c r="B85" s="39"/>
      <c r="C85" s="40"/>
    </row>
    <row r="86" spans="2:5" ht="15.75" x14ac:dyDescent="0.25">
      <c r="B86" s="30" t="s">
        <v>142</v>
      </c>
      <c r="C86" s="31">
        <f>SUM(C81:C85)</f>
        <v>232.47637170600001</v>
      </c>
      <c r="E86" s="71"/>
    </row>
    <row r="87" spans="2:5" ht="15.75" x14ac:dyDescent="0.2">
      <c r="B87" s="44"/>
      <c r="C87" s="45"/>
    </row>
    <row r="88" spans="2:5" ht="15.75" x14ac:dyDescent="0.25">
      <c r="B88" s="26" t="s">
        <v>143</v>
      </c>
    </row>
    <row r="89" spans="2:5" x14ac:dyDescent="0.2">
      <c r="B89" s="39" t="s">
        <v>118</v>
      </c>
      <c r="C89" s="40">
        <f>2.41090246+6.93</f>
        <v>9.3409024599999988</v>
      </c>
    </row>
    <row r="90" spans="2:5" x14ac:dyDescent="0.2">
      <c r="B90" s="39" t="s">
        <v>116</v>
      </c>
      <c r="C90" s="40">
        <f>3.114045386+4.79</f>
        <v>7.904045386</v>
      </c>
    </row>
    <row r="91" spans="2:5" x14ac:dyDescent="0.2">
      <c r="B91" s="39" t="s">
        <v>117</v>
      </c>
      <c r="C91" s="40">
        <f>5.388568777+13.53</f>
        <v>18.918568776999997</v>
      </c>
    </row>
    <row r="92" spans="2:5" x14ac:dyDescent="0.2">
      <c r="B92" s="39" t="s">
        <v>144</v>
      </c>
      <c r="C92" s="40">
        <f>13.629678844+33.18</f>
        <v>46.809678844000004</v>
      </c>
    </row>
    <row r="93" spans="2:5" ht="15.75" x14ac:dyDescent="0.25">
      <c r="B93" s="30" t="s">
        <v>145</v>
      </c>
      <c r="C93" s="31">
        <f>SUM(C89:C92)</f>
        <v>82.973195466999996</v>
      </c>
    </row>
    <row r="95" spans="2:5" ht="15.75" x14ac:dyDescent="0.2">
      <c r="B95" s="44" t="s">
        <v>146</v>
      </c>
      <c r="C95" s="45">
        <f>+C93+C77+C86+C72+C65+C41+C15</f>
        <v>4244.7520234814065</v>
      </c>
    </row>
    <row r="96" spans="2:5" ht="15.75" x14ac:dyDescent="0.25">
      <c r="B96" s="26" t="s">
        <v>147</v>
      </c>
    </row>
    <row r="97" spans="2:3" ht="15.75" x14ac:dyDescent="0.25">
      <c r="B97" s="30" t="s">
        <v>148</v>
      </c>
      <c r="C97" s="31">
        <v>0</v>
      </c>
    </row>
    <row r="99" spans="2:3" ht="15.75" x14ac:dyDescent="0.2">
      <c r="B99" s="44" t="s">
        <v>149</v>
      </c>
      <c r="C99" s="45">
        <v>2023986.2602900001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2076-60FE-4D39-93E9-CC792F48E611}">
  <dimension ref="B1:G67"/>
  <sheetViews>
    <sheetView showGridLines="0" rightToLeft="1" topLeftCell="A49" zoomScale="85" zoomScaleNormal="85" workbookViewId="0">
      <selection activeCell="D17" sqref="D17"/>
    </sheetView>
  </sheetViews>
  <sheetFormatPr defaultColWidth="9.125" defaultRowHeight="15" x14ac:dyDescent="0.2"/>
  <cols>
    <col min="1" max="1" width="2.75" style="22" customWidth="1"/>
    <col min="2" max="2" width="5.625" style="59" customWidth="1"/>
    <col min="3" max="3" width="130.625" style="22" customWidth="1"/>
    <col min="4" max="4" width="18.25" style="56" bestFit="1" customWidth="1"/>
    <col min="5" max="5" width="10.125" style="22" bestFit="1" customWidth="1"/>
    <col min="6" max="16384" width="9.125" style="22"/>
  </cols>
  <sheetData>
    <row r="1" spans="2:4" s="14" customFormat="1" ht="18" x14ac:dyDescent="0.25">
      <c r="B1" s="46"/>
      <c r="D1" s="47"/>
    </row>
    <row r="2" spans="2:4" s="14" customFormat="1" ht="18" customHeight="1" x14ac:dyDescent="0.25">
      <c r="B2" s="48" t="s">
        <v>150</v>
      </c>
      <c r="C2" s="49"/>
      <c r="D2" s="47"/>
    </row>
    <row r="3" spans="2:4" s="14" customFormat="1" ht="18" customHeight="1" x14ac:dyDescent="0.25">
      <c r="B3" s="46"/>
      <c r="D3" s="47"/>
    </row>
    <row r="4" spans="2:4" s="14" customFormat="1" ht="18" customHeight="1" x14ac:dyDescent="0.25">
      <c r="B4" s="50" t="s">
        <v>1</v>
      </c>
      <c r="C4" s="49"/>
      <c r="D4" s="51" t="s">
        <v>2</v>
      </c>
    </row>
    <row r="5" spans="2:4" ht="18" customHeight="1" x14ac:dyDescent="0.25">
      <c r="B5" s="52"/>
      <c r="C5" s="53"/>
      <c r="D5" s="54"/>
    </row>
    <row r="6" spans="2:4" ht="18" customHeight="1" x14ac:dyDescent="0.25">
      <c r="B6" s="55" t="s">
        <v>3</v>
      </c>
    </row>
    <row r="7" spans="2:4" ht="18" customHeight="1" x14ac:dyDescent="0.2">
      <c r="B7" s="57" t="s">
        <v>4</v>
      </c>
      <c r="D7" s="58">
        <f>SUM(D8:D9)</f>
        <v>463.40615870599999</v>
      </c>
    </row>
    <row r="8" spans="2:4" ht="18" customHeight="1" x14ac:dyDescent="0.2">
      <c r="C8" s="22" t="s">
        <v>5</v>
      </c>
      <c r="D8" s="56">
        <f>2.86103+50.09</f>
        <v>52.951030000000003</v>
      </c>
    </row>
    <row r="9" spans="2:4" ht="18" customHeight="1" x14ac:dyDescent="0.2">
      <c r="C9" s="22" t="s">
        <v>6</v>
      </c>
      <c r="D9" s="56">
        <f>131.085128706+279.37</f>
        <v>410.45512870599998</v>
      </c>
    </row>
    <row r="10" spans="2:4" ht="18" customHeight="1" x14ac:dyDescent="0.25">
      <c r="C10" s="30"/>
    </row>
    <row r="11" spans="2:4" ht="18" customHeight="1" x14ac:dyDescent="0.2">
      <c r="B11" s="57" t="s">
        <v>7</v>
      </c>
      <c r="D11" s="58">
        <f>SUM(D12:D13)</f>
        <v>27.746400000000001</v>
      </c>
    </row>
    <row r="12" spans="2:4" ht="18" customHeight="1" x14ac:dyDescent="0.2">
      <c r="C12" s="59" t="s">
        <v>8</v>
      </c>
    </row>
    <row r="13" spans="2:4" ht="18" customHeight="1" x14ac:dyDescent="0.2">
      <c r="C13" s="59" t="s">
        <v>9</v>
      </c>
      <c r="D13" s="56">
        <f>9.4464+18.3</f>
        <v>27.746400000000001</v>
      </c>
    </row>
    <row r="14" spans="2:4" ht="18" customHeight="1" x14ac:dyDescent="0.2">
      <c r="C14" s="59"/>
    </row>
    <row r="15" spans="2:4" ht="18" customHeight="1" x14ac:dyDescent="0.2">
      <c r="B15" s="57" t="s">
        <v>10</v>
      </c>
      <c r="D15" s="58">
        <f>+D16</f>
        <v>0</v>
      </c>
    </row>
    <row r="16" spans="2:4" ht="18" customHeight="1" x14ac:dyDescent="0.2">
      <c r="C16" s="59" t="s">
        <v>11</v>
      </c>
      <c r="D16" s="56">
        <v>0</v>
      </c>
    </row>
    <row r="17" spans="2:4" ht="18" customHeight="1" x14ac:dyDescent="0.2">
      <c r="C17" s="59" t="s">
        <v>12</v>
      </c>
      <c r="D17" s="56">
        <v>0</v>
      </c>
    </row>
    <row r="18" spans="2:4" ht="18" customHeight="1" x14ac:dyDescent="0.2"/>
    <row r="19" spans="2:4" ht="18" customHeight="1" x14ac:dyDescent="0.2">
      <c r="B19" s="57" t="s">
        <v>13</v>
      </c>
      <c r="D19" s="56">
        <f>389.694+691.07</f>
        <v>1080.7640000000001</v>
      </c>
    </row>
    <row r="20" spans="2:4" ht="18" customHeight="1" x14ac:dyDescent="0.2">
      <c r="B20" s="57"/>
    </row>
    <row r="21" spans="2:4" ht="18" customHeight="1" x14ac:dyDescent="0.2">
      <c r="B21" s="57" t="s">
        <v>14</v>
      </c>
      <c r="D21" s="56">
        <v>0</v>
      </c>
    </row>
    <row r="22" spans="2:4" ht="18" customHeight="1" x14ac:dyDescent="0.2">
      <c r="B22" s="57"/>
    </row>
    <row r="23" spans="2:4" ht="18" customHeight="1" x14ac:dyDescent="0.2">
      <c r="B23" s="57" t="s">
        <v>15</v>
      </c>
      <c r="D23" s="56">
        <v>0</v>
      </c>
    </row>
    <row r="24" spans="2:4" ht="18" customHeight="1" x14ac:dyDescent="0.2">
      <c r="B24" s="57"/>
    </row>
    <row r="25" spans="2:4" ht="18" customHeight="1" x14ac:dyDescent="0.2">
      <c r="B25" s="57" t="s">
        <v>16</v>
      </c>
      <c r="D25" s="56">
        <f>+D7+D11+D15+D19+D21+D23</f>
        <v>1571.9165587060002</v>
      </c>
    </row>
    <row r="26" spans="2:4" ht="18" customHeight="1" x14ac:dyDescent="0.2">
      <c r="B26" s="57"/>
    </row>
    <row r="27" spans="2:4" ht="18" customHeight="1" x14ac:dyDescent="0.2">
      <c r="B27" s="57" t="s">
        <v>17</v>
      </c>
      <c r="D27" s="56">
        <v>2029271.8292</v>
      </c>
    </row>
    <row r="28" spans="2:4" ht="18" customHeight="1" x14ac:dyDescent="0.2">
      <c r="C28" s="22" t="s">
        <v>18</v>
      </c>
      <c r="D28" s="56">
        <v>2063972.642</v>
      </c>
    </row>
    <row r="29" spans="2:4" ht="18" customHeight="1" x14ac:dyDescent="0.2">
      <c r="C29" s="22" t="s">
        <v>19</v>
      </c>
      <c r="D29" s="56">
        <v>1994571.0164000001</v>
      </c>
    </row>
    <row r="30" spans="2:4" ht="18" customHeight="1" x14ac:dyDescent="0.2"/>
    <row r="31" spans="2:4" ht="18" customHeight="1" x14ac:dyDescent="0.2">
      <c r="B31" s="57" t="s">
        <v>20</v>
      </c>
      <c r="D31" s="60">
        <v>2.6269844731258049E-4</v>
      </c>
    </row>
    <row r="32" spans="2:4" ht="18" customHeight="1" x14ac:dyDescent="0.2">
      <c r="B32" s="57"/>
    </row>
    <row r="33" spans="2:7" ht="18" customHeight="1" x14ac:dyDescent="0.25">
      <c r="B33" s="52" t="s">
        <v>21</v>
      </c>
    </row>
    <row r="34" spans="2:7" ht="18" customHeight="1" x14ac:dyDescent="0.2">
      <c r="B34" s="57" t="s">
        <v>22</v>
      </c>
      <c r="D34" s="56">
        <v>0</v>
      </c>
    </row>
    <row r="35" spans="2:7" ht="18" customHeight="1" x14ac:dyDescent="0.2">
      <c r="B35" s="57"/>
    </row>
    <row r="36" spans="2:7" ht="18" customHeight="1" x14ac:dyDescent="0.25">
      <c r="B36" s="52" t="s">
        <v>21</v>
      </c>
    </row>
    <row r="37" spans="2:7" ht="18" customHeight="1" x14ac:dyDescent="0.2">
      <c r="B37" s="57" t="s">
        <v>23</v>
      </c>
      <c r="D37" s="56">
        <f>SUM(D38:D50)</f>
        <v>4243.5858151534048</v>
      </c>
      <c r="E37" s="63"/>
    </row>
    <row r="38" spans="2:7" ht="18" customHeight="1" x14ac:dyDescent="0.2">
      <c r="C38" s="57" t="s">
        <v>24</v>
      </c>
      <c r="D38" s="56">
        <f>+'נספח 3'!C15</f>
        <v>991.1923553234999</v>
      </c>
    </row>
    <row r="39" spans="2:7" ht="18" customHeight="1" x14ac:dyDescent="0.2">
      <c r="C39" s="57" t="s">
        <v>25</v>
      </c>
      <c r="D39" s="56">
        <f>+'נספח 3'!C41</f>
        <v>1957.1399503859059</v>
      </c>
    </row>
    <row r="40" spans="2:7" ht="18" customHeight="1" x14ac:dyDescent="0.2">
      <c r="C40" s="57" t="s">
        <v>26</v>
      </c>
      <c r="D40" s="56">
        <v>0</v>
      </c>
    </row>
    <row r="41" spans="2:7" ht="18" customHeight="1" x14ac:dyDescent="0.2">
      <c r="C41" s="57" t="s">
        <v>27</v>
      </c>
      <c r="D41" s="56">
        <v>0</v>
      </c>
    </row>
    <row r="42" spans="2:7" ht="18" customHeight="1" x14ac:dyDescent="0.2">
      <c r="C42" s="57" t="s">
        <v>28</v>
      </c>
      <c r="D42" s="56">
        <v>4.2</v>
      </c>
      <c r="E42" s="56"/>
      <c r="F42" s="71"/>
      <c r="G42" s="71"/>
    </row>
    <row r="43" spans="2:7" ht="18" customHeight="1" x14ac:dyDescent="0.2">
      <c r="C43" s="57" t="s">
        <v>29</v>
      </c>
      <c r="E43" s="56"/>
    </row>
    <row r="44" spans="2:7" ht="18" customHeight="1" x14ac:dyDescent="0.2">
      <c r="C44" s="57" t="s">
        <v>30</v>
      </c>
      <c r="D44" s="56">
        <v>975.6</v>
      </c>
      <c r="E44" s="56"/>
      <c r="F44" s="71"/>
      <c r="G44" s="71"/>
    </row>
    <row r="45" spans="2:7" ht="18" customHeight="1" x14ac:dyDescent="0.2">
      <c r="C45" s="57" t="s">
        <v>31</v>
      </c>
    </row>
    <row r="46" spans="2:7" ht="18" customHeight="1" x14ac:dyDescent="0.2">
      <c r="C46" s="22" t="s">
        <v>32</v>
      </c>
    </row>
    <row r="47" spans="2:7" ht="18" customHeight="1" x14ac:dyDescent="0.2">
      <c r="C47" s="22" t="s">
        <v>33</v>
      </c>
    </row>
    <row r="48" spans="2:7" ht="18" customHeight="1" x14ac:dyDescent="0.2">
      <c r="C48" s="22" t="s">
        <v>34</v>
      </c>
      <c r="D48" s="56">
        <f>42.340897539+189.04-0.31+1.409416438</f>
        <v>232.48031397699998</v>
      </c>
    </row>
    <row r="49" spans="2:4" ht="18" customHeight="1" x14ac:dyDescent="0.2">
      <c r="C49" s="22" t="s">
        <v>33</v>
      </c>
    </row>
    <row r="50" spans="2:4" ht="18" customHeight="1" x14ac:dyDescent="0.2">
      <c r="C50" s="22" t="s">
        <v>35</v>
      </c>
      <c r="D50" s="56">
        <f>24.543195467+58.43</f>
        <v>82.973195466999996</v>
      </c>
    </row>
    <row r="51" spans="2:4" ht="18" customHeight="1" x14ac:dyDescent="0.2"/>
    <row r="52" spans="2:4" ht="18" customHeight="1" x14ac:dyDescent="0.2">
      <c r="B52" s="57" t="s">
        <v>36</v>
      </c>
      <c r="D52" s="60">
        <f>+D37/D29</f>
        <v>2.1275681739388002E-3</v>
      </c>
    </row>
    <row r="53" spans="2:4" ht="18" customHeight="1" x14ac:dyDescent="0.2">
      <c r="B53" s="57" t="s">
        <v>37</v>
      </c>
      <c r="D53" s="60">
        <v>2.5000000000000001E-3</v>
      </c>
    </row>
    <row r="54" spans="2:4" ht="18" customHeight="1" x14ac:dyDescent="0.2">
      <c r="B54" s="57" t="s">
        <v>38</v>
      </c>
      <c r="D54" s="60">
        <f>+D53-D52</f>
        <v>3.724318260611998E-4</v>
      </c>
    </row>
    <row r="55" spans="2:4" ht="18" customHeight="1" x14ac:dyDescent="0.2">
      <c r="B55" s="57"/>
    </row>
    <row r="56" spans="2:4" ht="18" customHeight="1" x14ac:dyDescent="0.2">
      <c r="B56" s="57" t="s">
        <v>39</v>
      </c>
      <c r="D56" s="56">
        <v>0</v>
      </c>
    </row>
    <row r="57" spans="2:4" ht="18" customHeight="1" x14ac:dyDescent="0.2">
      <c r="B57" s="57" t="s">
        <v>40</v>
      </c>
      <c r="D57" s="60">
        <f>+(D37-D56)/D29</f>
        <v>2.1275681739388002E-3</v>
      </c>
    </row>
    <row r="58" spans="2:4" ht="18" customHeight="1" x14ac:dyDescent="0.2">
      <c r="B58" s="57"/>
    </row>
    <row r="59" spans="2:4" ht="18" customHeight="1" x14ac:dyDescent="0.25">
      <c r="B59" s="52" t="s">
        <v>41</v>
      </c>
    </row>
    <row r="60" spans="2:4" ht="18" customHeight="1" x14ac:dyDescent="0.2">
      <c r="B60" s="57" t="s">
        <v>42</v>
      </c>
      <c r="D60" s="56">
        <f>D25+D37-D56</f>
        <v>5815.5023738594045</v>
      </c>
    </row>
    <row r="61" spans="2:4" ht="18" customHeight="1" x14ac:dyDescent="0.2">
      <c r="B61" s="57"/>
    </row>
    <row r="62" spans="2:4" ht="18" customHeight="1" x14ac:dyDescent="0.2">
      <c r="B62" s="57" t="s">
        <v>43</v>
      </c>
      <c r="D62" s="60">
        <f>D60/D27</f>
        <v>2.8658074734876945E-3</v>
      </c>
    </row>
    <row r="63" spans="2:4" ht="18" customHeight="1" x14ac:dyDescent="0.2">
      <c r="B63" s="57"/>
    </row>
    <row r="64" spans="2:4" ht="18" customHeight="1" x14ac:dyDescent="0.25">
      <c r="B64" s="52" t="s">
        <v>44</v>
      </c>
    </row>
    <row r="65" spans="2:4" ht="18" customHeight="1" x14ac:dyDescent="0.2">
      <c r="B65" s="57" t="s">
        <v>45</v>
      </c>
      <c r="D65" s="61">
        <v>2.5000000000000001E-3</v>
      </c>
    </row>
    <row r="66" spans="2:4" ht="18" customHeight="1" x14ac:dyDescent="0.2">
      <c r="B66" s="57" t="s">
        <v>46</v>
      </c>
    </row>
    <row r="67" spans="2:4" ht="18" customHeight="1" x14ac:dyDescent="0.2">
      <c r="B67" s="57" t="s">
        <v>47</v>
      </c>
      <c r="D67" s="60">
        <f>D31+D65</f>
        <v>2.7626984473125807E-3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193E-98B0-44F8-9CE7-5592DC13714B}">
  <dimension ref="B1:D67"/>
  <sheetViews>
    <sheetView showGridLines="0" rightToLeft="1" tabSelected="1" topLeftCell="A46" workbookViewId="0">
      <selection activeCell="C11" sqref="C11"/>
    </sheetView>
  </sheetViews>
  <sheetFormatPr defaultColWidth="9.125" defaultRowHeight="15" x14ac:dyDescent="0.2"/>
  <cols>
    <col min="1" max="1" width="2.75" style="22" customWidth="1"/>
    <col min="2" max="2" width="5.625" style="59" customWidth="1"/>
    <col min="3" max="3" width="101" style="22" customWidth="1"/>
    <col min="4" max="4" width="18.25" style="56" bestFit="1" customWidth="1"/>
    <col min="5" max="16384" width="9.125" style="22"/>
  </cols>
  <sheetData>
    <row r="1" spans="2:4" s="14" customFormat="1" ht="18" x14ac:dyDescent="0.25">
      <c r="B1" s="46"/>
      <c r="D1" s="47"/>
    </row>
    <row r="2" spans="2:4" s="14" customFormat="1" ht="18" customHeight="1" x14ac:dyDescent="0.25">
      <c r="B2" s="48" t="s">
        <v>151</v>
      </c>
      <c r="C2" s="49"/>
      <c r="D2" s="47"/>
    </row>
    <row r="3" spans="2:4" s="14" customFormat="1" ht="18" customHeight="1" x14ac:dyDescent="0.25">
      <c r="B3" s="46"/>
      <c r="D3" s="47"/>
    </row>
    <row r="4" spans="2:4" s="14" customFormat="1" ht="18" customHeight="1" x14ac:dyDescent="0.25">
      <c r="B4" s="50" t="s">
        <v>1</v>
      </c>
      <c r="C4" s="49"/>
      <c r="D4" s="51" t="s">
        <v>2</v>
      </c>
    </row>
    <row r="5" spans="2:4" ht="18" customHeight="1" x14ac:dyDescent="0.25">
      <c r="B5" s="52"/>
      <c r="C5" s="53"/>
      <c r="D5" s="54"/>
    </row>
    <row r="6" spans="2:4" ht="18" customHeight="1" x14ac:dyDescent="0.25">
      <c r="B6" s="55" t="s">
        <v>3</v>
      </c>
    </row>
    <row r="7" spans="2:4" ht="18" customHeight="1" x14ac:dyDescent="0.2">
      <c r="B7" s="57" t="s">
        <v>4</v>
      </c>
      <c r="D7" s="58">
        <f>SUM(D8:D9)</f>
        <v>4.40421</v>
      </c>
    </row>
    <row r="8" spans="2:4" ht="18" customHeight="1" x14ac:dyDescent="0.2">
      <c r="C8" s="22" t="s">
        <v>5</v>
      </c>
      <c r="D8" s="56">
        <v>0.16</v>
      </c>
    </row>
    <row r="9" spans="2:4" ht="18" customHeight="1" x14ac:dyDescent="0.2">
      <c r="C9" s="22" t="s">
        <v>6</v>
      </c>
      <c r="D9" s="56">
        <f>1.51421+2.73</f>
        <v>4.2442099999999998</v>
      </c>
    </row>
    <row r="10" spans="2:4" ht="18" customHeight="1" x14ac:dyDescent="0.25">
      <c r="C10" s="30"/>
    </row>
    <row r="11" spans="2:4" ht="18" customHeight="1" x14ac:dyDescent="0.2">
      <c r="B11" s="57" t="s">
        <v>7</v>
      </c>
      <c r="D11" s="58">
        <v>0</v>
      </c>
    </row>
    <row r="12" spans="2:4" ht="18" customHeight="1" x14ac:dyDescent="0.2">
      <c r="C12" s="59" t="s">
        <v>8</v>
      </c>
      <c r="D12" s="56">
        <v>0</v>
      </c>
    </row>
    <row r="13" spans="2:4" ht="18" customHeight="1" x14ac:dyDescent="0.2">
      <c r="C13" s="59" t="s">
        <v>9</v>
      </c>
      <c r="D13" s="56">
        <v>0</v>
      </c>
    </row>
    <row r="14" spans="2:4" ht="18" customHeight="1" x14ac:dyDescent="0.2">
      <c r="C14" s="59"/>
    </row>
    <row r="15" spans="2:4" ht="18" customHeight="1" x14ac:dyDescent="0.2">
      <c r="B15" s="57" t="s">
        <v>10</v>
      </c>
      <c r="D15" s="58">
        <v>0</v>
      </c>
    </row>
    <row r="16" spans="2:4" ht="18" customHeight="1" x14ac:dyDescent="0.2">
      <c r="C16" s="59" t="s">
        <v>11</v>
      </c>
      <c r="D16" s="56">
        <v>0</v>
      </c>
    </row>
    <row r="17" spans="2:4" ht="18" customHeight="1" x14ac:dyDescent="0.2">
      <c r="C17" s="59" t="s">
        <v>12</v>
      </c>
      <c r="D17" s="56">
        <v>0</v>
      </c>
    </row>
    <row r="18" spans="2:4" ht="18" customHeight="1" x14ac:dyDescent="0.2"/>
    <row r="19" spans="2:4" ht="18" customHeight="1" x14ac:dyDescent="0.2">
      <c r="B19" s="57" t="s">
        <v>13</v>
      </c>
      <c r="D19" s="56">
        <v>5.2999999999999999E-2</v>
      </c>
    </row>
    <row r="20" spans="2:4" ht="18" customHeight="1" x14ac:dyDescent="0.2">
      <c r="B20" s="57"/>
    </row>
    <row r="21" spans="2:4" ht="18" customHeight="1" x14ac:dyDescent="0.2">
      <c r="B21" s="57" t="s">
        <v>14</v>
      </c>
      <c r="D21" s="56">
        <v>0</v>
      </c>
    </row>
    <row r="22" spans="2:4" ht="18" customHeight="1" x14ac:dyDescent="0.2">
      <c r="B22" s="57"/>
    </row>
    <row r="23" spans="2:4" ht="18" customHeight="1" x14ac:dyDescent="0.2">
      <c r="B23" s="57" t="s">
        <v>15</v>
      </c>
      <c r="D23" s="56">
        <v>0</v>
      </c>
    </row>
    <row r="24" spans="2:4" ht="18" customHeight="1" x14ac:dyDescent="0.2">
      <c r="B24" s="57"/>
    </row>
    <row r="25" spans="2:4" ht="18" customHeight="1" x14ac:dyDescent="0.2">
      <c r="B25" s="57" t="s">
        <v>16</v>
      </c>
      <c r="D25" s="56">
        <f>D7+D11+D15+D19+D21+D23</f>
        <v>4.4572099999999999</v>
      </c>
    </row>
    <row r="26" spans="2:4" ht="18" customHeight="1" x14ac:dyDescent="0.2">
      <c r="B26" s="57"/>
    </row>
    <row r="27" spans="2:4" ht="18" customHeight="1" x14ac:dyDescent="0.2">
      <c r="B27" s="57" t="s">
        <v>17</v>
      </c>
      <c r="D27" s="56">
        <v>29540.727125000001</v>
      </c>
    </row>
    <row r="28" spans="2:4" ht="18" customHeight="1" x14ac:dyDescent="0.2">
      <c r="C28" s="22" t="s">
        <v>18</v>
      </c>
      <c r="D28" s="56">
        <v>29666.210360000001</v>
      </c>
    </row>
    <row r="29" spans="2:4" ht="18" customHeight="1" x14ac:dyDescent="0.2">
      <c r="C29" s="22" t="s">
        <v>19</v>
      </c>
      <c r="D29" s="56">
        <v>29415.243890000002</v>
      </c>
    </row>
    <row r="30" spans="2:4" ht="18" customHeight="1" x14ac:dyDescent="0.2"/>
    <row r="31" spans="2:4" ht="18" customHeight="1" x14ac:dyDescent="0.2">
      <c r="B31" s="57" t="s">
        <v>20</v>
      </c>
      <c r="D31" s="60">
        <f>D25/D27</f>
        <v>1.5088355750823447E-4</v>
      </c>
    </row>
    <row r="32" spans="2:4" ht="18" customHeight="1" x14ac:dyDescent="0.2">
      <c r="B32" s="57"/>
    </row>
    <row r="33" spans="2:4" ht="18" customHeight="1" x14ac:dyDescent="0.25">
      <c r="B33" s="52" t="s">
        <v>21</v>
      </c>
    </row>
    <row r="34" spans="2:4" ht="18" customHeight="1" x14ac:dyDescent="0.2">
      <c r="B34" s="57" t="s">
        <v>22</v>
      </c>
      <c r="D34" s="56">
        <v>0</v>
      </c>
    </row>
    <row r="35" spans="2:4" ht="18" customHeight="1" x14ac:dyDescent="0.2">
      <c r="B35" s="57"/>
    </row>
    <row r="36" spans="2:4" ht="18" customHeight="1" x14ac:dyDescent="0.25">
      <c r="B36" s="52" t="s">
        <v>21</v>
      </c>
    </row>
    <row r="37" spans="2:4" ht="18" customHeight="1" x14ac:dyDescent="0.2">
      <c r="B37" s="57" t="s">
        <v>23</v>
      </c>
      <c r="D37" s="56">
        <f>SUM(D38:D50)</f>
        <v>1.1730409749999999</v>
      </c>
    </row>
    <row r="38" spans="2:4" ht="18" customHeight="1" x14ac:dyDescent="0.2">
      <c r="C38" s="57" t="s">
        <v>24</v>
      </c>
      <c r="D38" s="56">
        <v>0</v>
      </c>
    </row>
    <row r="39" spans="2:4" ht="18" customHeight="1" x14ac:dyDescent="0.2">
      <c r="C39" s="57" t="s">
        <v>25</v>
      </c>
      <c r="D39" s="56">
        <v>0</v>
      </c>
    </row>
    <row r="40" spans="2:4" ht="18" customHeight="1" x14ac:dyDescent="0.2">
      <c r="C40" s="57" t="s">
        <v>26</v>
      </c>
      <c r="D40" s="56">
        <v>0</v>
      </c>
    </row>
    <row r="41" spans="2:4" ht="18" customHeight="1" x14ac:dyDescent="0.2">
      <c r="C41" s="57" t="s">
        <v>27</v>
      </c>
      <c r="D41" s="56">
        <v>0</v>
      </c>
    </row>
    <row r="42" spans="2:4" ht="18" customHeight="1" x14ac:dyDescent="0.2">
      <c r="C42" s="57" t="s">
        <v>28</v>
      </c>
      <c r="D42" s="56">
        <f>0.219712764+0.17</f>
        <v>0.38971276399999999</v>
      </c>
    </row>
    <row r="43" spans="2:4" ht="18" customHeight="1" x14ac:dyDescent="0.2">
      <c r="C43" s="57" t="s">
        <v>29</v>
      </c>
    </row>
    <row r="44" spans="2:4" ht="18" customHeight="1" x14ac:dyDescent="0.2">
      <c r="C44" s="57" t="s">
        <v>30</v>
      </c>
      <c r="D44" s="56">
        <f>0.203328211+0.58</f>
        <v>0.78332821099999994</v>
      </c>
    </row>
    <row r="45" spans="2:4" ht="18" customHeight="1" x14ac:dyDescent="0.2">
      <c r="C45" s="57" t="s">
        <v>31</v>
      </c>
    </row>
    <row r="46" spans="2:4" ht="18" customHeight="1" x14ac:dyDescent="0.2">
      <c r="C46" s="22" t="s">
        <v>32</v>
      </c>
      <c r="D46" s="56">
        <v>0</v>
      </c>
    </row>
    <row r="47" spans="2:4" ht="18" customHeight="1" x14ac:dyDescent="0.2">
      <c r="C47" s="22" t="s">
        <v>33</v>
      </c>
    </row>
    <row r="48" spans="2:4" ht="18" customHeight="1" x14ac:dyDescent="0.2">
      <c r="C48" s="22" t="s">
        <v>34</v>
      </c>
      <c r="D48" s="56">
        <v>0</v>
      </c>
    </row>
    <row r="49" spans="2:4" ht="18" customHeight="1" x14ac:dyDescent="0.2">
      <c r="C49" s="22" t="s">
        <v>33</v>
      </c>
    </row>
    <row r="50" spans="2:4" ht="18" customHeight="1" x14ac:dyDescent="0.2">
      <c r="C50" s="22" t="s">
        <v>35</v>
      </c>
      <c r="D50" s="56">
        <v>0</v>
      </c>
    </row>
    <row r="51" spans="2:4" ht="18" customHeight="1" x14ac:dyDescent="0.2"/>
    <row r="52" spans="2:4" ht="18" customHeight="1" x14ac:dyDescent="0.2">
      <c r="B52" s="57" t="s">
        <v>36</v>
      </c>
      <c r="D52" s="60">
        <f>D37/D29</f>
        <v>3.987867581131247E-5</v>
      </c>
    </row>
    <row r="53" spans="2:4" ht="18" customHeight="1" x14ac:dyDescent="0.2">
      <c r="B53" s="57" t="s">
        <v>37</v>
      </c>
      <c r="D53" s="60">
        <v>5.0000000000000001E-4</v>
      </c>
    </row>
    <row r="54" spans="2:4" ht="18" customHeight="1" x14ac:dyDescent="0.2">
      <c r="B54" s="57" t="s">
        <v>38</v>
      </c>
      <c r="D54" s="60">
        <f>D53-D52</f>
        <v>4.6012132418868753E-4</v>
      </c>
    </row>
    <row r="55" spans="2:4" ht="18" customHeight="1" x14ac:dyDescent="0.2">
      <c r="B55" s="57"/>
    </row>
    <row r="56" spans="2:4" ht="18" customHeight="1" x14ac:dyDescent="0.2">
      <c r="B56" s="57" t="s">
        <v>39</v>
      </c>
      <c r="D56" s="56">
        <v>0</v>
      </c>
    </row>
    <row r="57" spans="2:4" ht="18" customHeight="1" x14ac:dyDescent="0.2">
      <c r="B57" s="57" t="s">
        <v>40</v>
      </c>
      <c r="D57" s="60">
        <f>(D37-D56)/D29</f>
        <v>3.987867581131247E-5</v>
      </c>
    </row>
    <row r="58" spans="2:4" ht="18" customHeight="1" x14ac:dyDescent="0.2">
      <c r="B58" s="57"/>
    </row>
    <row r="59" spans="2:4" ht="18" customHeight="1" x14ac:dyDescent="0.25">
      <c r="B59" s="52" t="s">
        <v>41</v>
      </c>
    </row>
    <row r="60" spans="2:4" ht="18" customHeight="1" x14ac:dyDescent="0.2">
      <c r="B60" s="57" t="s">
        <v>42</v>
      </c>
      <c r="D60" s="56">
        <f>D25+D37-D56</f>
        <v>5.630250975</v>
      </c>
    </row>
    <row r="61" spans="2:4" ht="18" customHeight="1" x14ac:dyDescent="0.2">
      <c r="B61" s="57"/>
    </row>
    <row r="62" spans="2:4" ht="18" customHeight="1" x14ac:dyDescent="0.2">
      <c r="B62" s="57" t="s">
        <v>43</v>
      </c>
      <c r="D62" s="60">
        <f>D60/D27</f>
        <v>1.9059283649911174E-4</v>
      </c>
    </row>
    <row r="63" spans="2:4" ht="18" customHeight="1" x14ac:dyDescent="0.2">
      <c r="B63" s="57"/>
    </row>
    <row r="64" spans="2:4" ht="18" customHeight="1" x14ac:dyDescent="0.25">
      <c r="B64" s="52" t="s">
        <v>44</v>
      </c>
    </row>
    <row r="65" spans="2:4" ht="18" customHeight="1" x14ac:dyDescent="0.2">
      <c r="B65" s="57" t="s">
        <v>45</v>
      </c>
      <c r="D65" s="60">
        <v>5.0000000000000001E-4</v>
      </c>
    </row>
    <row r="66" spans="2:4" ht="18" customHeight="1" x14ac:dyDescent="0.2">
      <c r="B66" s="57" t="s">
        <v>46</v>
      </c>
    </row>
    <row r="67" spans="2:4" ht="18" customHeight="1" x14ac:dyDescent="0.2">
      <c r="B67" s="57" t="s">
        <v>47</v>
      </c>
      <c r="D67" s="60">
        <f>D31+D65</f>
        <v>6.5088355750823445E-4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</vt:lpstr>
      <vt:lpstr>נספח 2</vt:lpstr>
      <vt:lpstr>נספח 3</vt:lpstr>
      <vt:lpstr>418</vt:lpstr>
      <vt:lpstr>1456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Gabay Miryam</dc:creator>
  <cp:lastModifiedBy>itay</cp:lastModifiedBy>
  <dcterms:created xsi:type="dcterms:W3CDTF">2025-02-18T10:55:17Z</dcterms:created>
  <dcterms:modified xsi:type="dcterms:W3CDTF">2025-02-20T14:37:50Z</dcterms:modified>
</cp:coreProperties>
</file>